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65" yWindow="60" windowWidth="25005" windowHeight="15990" tabRatio="660"/>
  </bookViews>
  <sheets>
    <sheet name="BuildingDesignChecklist" sheetId="1" r:id="rId1"/>
    <sheet name="LPD Lookup" sheetId="2" state="hidden" r:id="rId2"/>
    <sheet name="Lists_LookupTables" sheetId="4" state="hidden" r:id="rId3"/>
    <sheet name="NewLookUps" sheetId="3" state="hidden" r:id="rId4"/>
  </sheets>
  <externalReferences>
    <externalReference r:id="rId5"/>
  </externalReferences>
  <definedNames>
    <definedName name="_xlnm._FilterDatabase" localSheetId="0" hidden="1">BuildingDesignChecklist!$B$72:$B$72</definedName>
    <definedName name="ACrating">Lists_LookupTables!$O$5:$O$8</definedName>
    <definedName name="AirHandlerCoolList">NewLookUps!$A$235:$A$270</definedName>
    <definedName name="AirHandlerCoolTbl">NewLookUps!$A$235:$B$270</definedName>
    <definedName name="AirHandlerHtList">NewLookUps!$A$127:$A$152</definedName>
    <definedName name="AirHandlerHtTbl">NewLookUps!$A$127:$B$152</definedName>
    <definedName name="AirHandlerTypeList">NewLookUps!$A$79:$A$90</definedName>
    <definedName name="AirHandlerTypeTbl">NewLookUps!$A$79:$B$90</definedName>
    <definedName name="Bldg_Type">[1]BldgTypeLookup!$A$4:$A$17</definedName>
    <definedName name="BldgLPDtable">'LPD Lookup'!$A$5:$C$39</definedName>
    <definedName name="BldgTypeList">'LPD Lookup'!$A$5:$A$39</definedName>
    <definedName name="BuildingType">[1]SavingsSummary_SampleMultHVAC!$B$4</definedName>
    <definedName name="CemtrlHtTbl">NewLookUps!$A$57:$B$75</definedName>
    <definedName name="CentralCoolList">NewLookUps!$A$202:$A$229</definedName>
    <definedName name="CentralCoolTbl">NewLookUps!$A$202:$B$229</definedName>
    <definedName name="CentralHtList">NewLookUps!$A$57:$A$75</definedName>
    <definedName name="CentralHtTbl">NewLookUps!$A$57:$B$75</definedName>
    <definedName name="ClimateZone">NewLookUps!$A$35:$A$37</definedName>
    <definedName name="Cooling">[1]BldgTypeLookup!$D$4:$D$21</definedName>
    <definedName name="CoolTable">Lists_LookupTables!$O$5:$Q$8</definedName>
    <definedName name="DCV_Options">Lists_LookupTables!$E$5:$E$8</definedName>
    <definedName name="DCV_Table">Lists_LookupTables!$E$5:$G$8</definedName>
    <definedName name="Defaultchoice">BuildingDesignChecklist!$I$22:$I$144</definedName>
    <definedName name="DefaultValue">BuildingDesignChecklist!$J$22:$J$155</definedName>
    <definedName name="EconomizerOptions">Lists_LookupTables!$I$5:$I$8</definedName>
    <definedName name="EconomizerTable">Lists_LookupTables!$I$5:$J$8</definedName>
    <definedName name="ERV_Options">Lists_LookupTables!$A$5:$A$8</definedName>
    <definedName name="ERVList">NewLookUps!$A$96:$A$106</definedName>
    <definedName name="ERVtable">Lists_LookupTables!$A$5:$C$8</definedName>
    <definedName name="ERVTbl">NewLookUps!$A$96:$B$106</definedName>
    <definedName name="HeatRatings">Lists_LookupTables!$S$5:$S$10</definedName>
    <definedName name="HeatTable">Lists_LookupTables!$S$5:$U$10</definedName>
    <definedName name="HWHtrList">NewLookUps!$A$326:$A$353</definedName>
    <definedName name="HWHtrTbl">NewLookUps!$A$326:$B$353</definedName>
    <definedName name="InfiltrationTbl">NewLookUps!$A$40:$A$51</definedName>
    <definedName name="Lighting">[1]BldgTypeLookup!$G$4:$G$21</definedName>
    <definedName name="LightingControls">Lists_LookupTables!$L$5:$L$9</definedName>
    <definedName name="MN_Factor">[1]BldgTypeLookup!$B$21:$M$21</definedName>
    <definedName name="Outdoor_Air_Flow_Based_On">Lists_LookupTables!$AF$5:$AF$7</definedName>
    <definedName name="_xlnm.Print_Area" localSheetId="0">BuildingDesignChecklist!$A$1:$H$141</definedName>
    <definedName name="ProcessLoadUnits">Lists_LookupTables!$AC$5:$AC$10</definedName>
    <definedName name="RenewablesList">NewLookUps!$A$358:$A$368</definedName>
    <definedName name="RenewablesTbl">NewLookUps!$A$358:$B$368</definedName>
    <definedName name="RoofRTbl">NewLookUps!$A$6:$B$12</definedName>
    <definedName name="RoofRTblList">NewLookUps!$A$6:$A$12</definedName>
    <definedName name="SHWload">Lists_LookupTables!$Z$5:$Z$9</definedName>
    <definedName name="SHWratings">Lists_LookupTables!$W$5:$W$7</definedName>
    <definedName name="Space_Heating">[1]BldgTypeLookup!$C$4:$C$21</definedName>
    <definedName name="Total">[1]BldgTypeLookup!$B$4:$B$21</definedName>
    <definedName name="Ventilation_Options">Lists_LookupTables!$A$5:$A$10</definedName>
    <definedName name="VentilationControlList">NewLookUps!$A$116:$A$123</definedName>
    <definedName name="VentilationControlTbl">NewLookUps!$A$116:$B$123</definedName>
    <definedName name="WallRTbl">NewLookUps!$A$16:$B$31</definedName>
    <definedName name="WallRTblList">NewLookUps!$A$16:$A$31</definedName>
    <definedName name="Water_Heating">[1]BldgTypeLookup!$F$4:$F$21</definedName>
    <definedName name="ZoneCoolList">NewLookUps!$A$274:$A$321</definedName>
    <definedName name="ZoneCoolTbl">NewLookUps!$A$274:$B$321</definedName>
    <definedName name="ZoneHtList">NewLookUps!$A$157:$A$196</definedName>
    <definedName name="ZoneHtTbl">NewLookUps!$A$157:$B$196</definedName>
  </definedNames>
  <calcPr calcId="145621" concurrentCalc="0"/>
  <extLst>
    <ext xmlns:mx="http://schemas.microsoft.com/office/mac/excel/2008/main" uri="http://schemas.microsoft.com/office/mac/excel/2008/main">
      <mx:ArchID Flags="0"/>
    </ext>
  </extLst>
</workbook>
</file>

<file path=xl/calcChain.xml><?xml version="1.0" encoding="utf-8"?>
<calcChain xmlns="http://schemas.openxmlformats.org/spreadsheetml/2006/main">
  <c r="E72" i="1" l="1"/>
  <c r="F73" i="1"/>
  <c r="F72" i="1"/>
  <c r="F71" i="1"/>
  <c r="E129" i="1"/>
  <c r="C132" i="1"/>
  <c r="C131" i="1"/>
  <c r="C130" i="1"/>
  <c r="C129" i="1"/>
  <c r="E132" i="1"/>
  <c r="E131" i="1"/>
  <c r="E130" i="1"/>
  <c r="F125" i="1"/>
  <c r="E125" i="1"/>
  <c r="F124" i="1"/>
  <c r="E124" i="1"/>
  <c r="F123" i="1"/>
  <c r="E123" i="1"/>
  <c r="F122" i="1"/>
  <c r="E122" i="1"/>
  <c r="C120" i="1"/>
  <c r="D120" i="1"/>
  <c r="C119" i="1"/>
  <c r="D119" i="1"/>
  <c r="C118" i="1"/>
  <c r="D118" i="1"/>
  <c r="E120" i="1"/>
  <c r="E119" i="1"/>
  <c r="F114" i="1"/>
  <c r="E114" i="1"/>
  <c r="F113" i="1"/>
  <c r="E113" i="1"/>
  <c r="F112" i="1"/>
  <c r="E112" i="1"/>
  <c r="F111" i="1"/>
  <c r="E111" i="1"/>
  <c r="F104" i="1"/>
  <c r="F103" i="1"/>
  <c r="F102" i="1"/>
  <c r="F101" i="1"/>
  <c r="E104" i="1"/>
  <c r="E103" i="1"/>
  <c r="E102" i="1"/>
  <c r="E101" i="1"/>
  <c r="F79" i="1"/>
  <c r="F78" i="1"/>
  <c r="E82" i="1"/>
  <c r="D79" i="1"/>
  <c r="D78" i="1"/>
  <c r="D77" i="1"/>
  <c r="E99" i="1"/>
  <c r="E98" i="1"/>
  <c r="E95" i="1"/>
  <c r="E94" i="1"/>
  <c r="E91" i="1"/>
  <c r="E90" i="1"/>
  <c r="E87" i="1"/>
  <c r="E86" i="1"/>
  <c r="E83" i="1"/>
  <c r="E79" i="1"/>
  <c r="E78" i="1"/>
  <c r="E70" i="1"/>
  <c r="E69" i="1"/>
  <c r="E68" i="1"/>
  <c r="E31" i="1"/>
  <c r="C99" i="1"/>
  <c r="D99" i="1"/>
  <c r="C98" i="1"/>
  <c r="F98" i="1"/>
  <c r="C97" i="1"/>
  <c r="F97" i="1"/>
  <c r="C95" i="1"/>
  <c r="F95" i="1"/>
  <c r="C94" i="1"/>
  <c r="F94" i="1"/>
  <c r="C93" i="1"/>
  <c r="D93" i="1"/>
  <c r="C91" i="1"/>
  <c r="D91" i="1"/>
  <c r="F91" i="1"/>
  <c r="C90" i="1"/>
  <c r="D90" i="1"/>
  <c r="F90" i="1"/>
  <c r="C89" i="1"/>
  <c r="D89" i="1"/>
  <c r="F89" i="1"/>
  <c r="C87" i="1"/>
  <c r="D87" i="1"/>
  <c r="C86" i="1"/>
  <c r="D86" i="1"/>
  <c r="C85" i="1"/>
  <c r="F85" i="1"/>
  <c r="C83" i="1"/>
  <c r="D83" i="1"/>
  <c r="C82" i="1"/>
  <c r="D82" i="1"/>
  <c r="C81" i="1"/>
  <c r="D81" i="1"/>
  <c r="C79" i="1"/>
  <c r="C78" i="1"/>
  <c r="C77" i="1"/>
  <c r="C70" i="1"/>
  <c r="C69" i="1"/>
  <c r="C68" i="1"/>
  <c r="C67" i="1"/>
  <c r="D58" i="1"/>
  <c r="D57" i="1"/>
  <c r="E58" i="1"/>
  <c r="E57" i="1"/>
  <c r="E47" i="1"/>
  <c r="E46" i="1"/>
  <c r="E44" i="1"/>
  <c r="E42" i="1"/>
  <c r="E32" i="1"/>
  <c r="F47" i="1"/>
  <c r="F46" i="1"/>
  <c r="F45" i="1"/>
  <c r="F44" i="1"/>
  <c r="F43" i="1"/>
  <c r="F42" i="1"/>
  <c r="F34" i="1"/>
  <c r="E30" i="1"/>
  <c r="C43" i="1"/>
  <c r="C39" i="1"/>
  <c r="F39" i="1"/>
  <c r="B41" i="1"/>
  <c r="C45" i="1"/>
  <c r="E40" i="1"/>
  <c r="F118" i="1"/>
  <c r="F120" i="1"/>
  <c r="F119" i="1"/>
  <c r="F82" i="1"/>
  <c r="F86" i="1"/>
  <c r="D95" i="1"/>
  <c r="D98" i="1"/>
  <c r="F83" i="1"/>
  <c r="F87" i="1"/>
  <c r="D94" i="1"/>
  <c r="D97" i="1"/>
  <c r="F99" i="1"/>
  <c r="F93" i="1"/>
  <c r="D85" i="1"/>
  <c r="F81" i="1"/>
  <c r="F77" i="1"/>
  <c r="C41" i="1"/>
  <c r="F41" i="1"/>
  <c r="C28" i="1"/>
  <c r="C27" i="1"/>
  <c r="E27" i="1"/>
  <c r="C26" i="1"/>
  <c r="F26" i="1"/>
  <c r="C24" i="1"/>
  <c r="C23" i="1"/>
  <c r="C22" i="1"/>
  <c r="F22" i="1"/>
  <c r="C47" i="1"/>
  <c r="C46" i="1"/>
  <c r="C44" i="1"/>
  <c r="C42" i="1"/>
  <c r="C38" i="1"/>
  <c r="F38" i="1"/>
  <c r="C40" i="1"/>
  <c r="F40" i="1"/>
  <c r="E24" i="1"/>
  <c r="D24" i="1"/>
  <c r="F24" i="1"/>
  <c r="E28" i="1"/>
  <c r="D28" i="1"/>
  <c r="F28" i="1"/>
  <c r="D27" i="1"/>
  <c r="F27" i="1"/>
  <c r="E23" i="1"/>
  <c r="D23" i="1"/>
  <c r="F23" i="1"/>
  <c r="C58" i="1"/>
  <c r="F58" i="1"/>
  <c r="C57" i="1"/>
  <c r="F57" i="1"/>
  <c r="C56" i="1"/>
  <c r="F56" i="1"/>
  <c r="X5" i="4"/>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E341" i="3"/>
  <c r="E340" i="3"/>
  <c r="E339" i="3"/>
  <c r="E338" i="3"/>
  <c r="E332" i="3"/>
  <c r="E331" i="3"/>
  <c r="E335" i="3"/>
  <c r="E334" i="3"/>
  <c r="E333" i="3"/>
  <c r="E346" i="3"/>
  <c r="E345" i="3"/>
  <c r="E344" i="3"/>
</calcChain>
</file>

<file path=xl/sharedStrings.xml><?xml version="1.0" encoding="utf-8"?>
<sst xmlns="http://schemas.openxmlformats.org/spreadsheetml/2006/main" count="1145" uniqueCount="567">
  <si>
    <t>Building System Attributes--Instructions</t>
  </si>
  <si>
    <t>→  For each new design stage, you may start from the previous stage's version of this document and update as needed.</t>
  </si>
  <si>
    <r>
      <t xml:space="preserve">→  Inputs are required in cells with </t>
    </r>
    <r>
      <rPr>
        <b/>
        <i/>
        <sz val="11"/>
        <color indexed="10"/>
        <rFont val="Calibri"/>
        <family val="2"/>
      </rPr>
      <t xml:space="preserve">bold italics red type </t>
    </r>
    <r>
      <rPr>
        <sz val="11"/>
        <color indexed="8"/>
        <rFont val="Calibri"/>
        <family val="2"/>
      </rPr>
      <t>(even if default number from formula is correct, manually type over to confirm).</t>
    </r>
  </si>
  <si>
    <t>→  Reported comparisons to code only give a general indication for a particular assembly or system and are not to be used to document energy code compliance.</t>
  </si>
  <si>
    <t>*The general listing of Minnestoa Energy Code efficiency levels is only meant for rough comparisons for a limited number of common items, and is neither an official nor comprehensive indication of Minnesota Energy Code requirements for specific projects.</t>
  </si>
  <si>
    <t>~60% of outside air load</t>
  </si>
  <si>
    <t>~70% of outside air load</t>
  </si>
  <si>
    <t>~50% of outside air load</t>
  </si>
  <si>
    <t>~55% of outside air load</t>
  </si>
  <si>
    <t>Req'd if 5,000+ cfm &amp; 70+% OA</t>
  </si>
  <si>
    <t xml:space="preserve"> No Energy Recovery Ventilation</t>
  </si>
  <si>
    <t xml:space="preserve"> Pick 1st Demand Ventilation Control</t>
  </si>
  <si>
    <t xml:space="preserve"> Pick 2nd Demand Ventilation Control</t>
  </si>
  <si>
    <t xml:space="preserve"> Pick 3rd Demand Ventilation Control</t>
  </si>
  <si>
    <t>Req'd in high occupancy &gt;500sf</t>
  </si>
  <si>
    <t xml:space="preserve"> No Demand Ventilation Control</t>
  </si>
  <si>
    <t>Building Strategy Checklist:  Design Summary Tab</t>
  </si>
  <si>
    <r>
      <t xml:space="preserve"> Air Side Economizer </t>
    </r>
    <r>
      <rPr>
        <u/>
        <sz val="10"/>
        <color indexed="8"/>
        <rFont val="Calibri"/>
        <family val="2"/>
      </rPr>
      <t>(Required 3,000+cfm air flow systems)</t>
    </r>
  </si>
  <si>
    <t>Plan:</t>
  </si>
  <si>
    <t>Stage:</t>
  </si>
  <si>
    <t>Enter Plan Stage</t>
  </si>
  <si>
    <t>→  Please enter comments liberally to note special characteristics (in the Design Comments &amp; Simulation Comments columns to the right).</t>
  </si>
  <si>
    <t>Electric Resistance--Tank Type, (≤ 12 kW), 40 gal</t>
  </si>
  <si>
    <t>Electric Resistance--Tank Type, (≤ 12 kW), 60 gal</t>
  </si>
  <si>
    <r>
      <t>Gas--Instantaneous, (</t>
    </r>
    <r>
      <rPr>
        <sz val="11"/>
        <color indexed="8"/>
        <rFont val="Calibri"/>
        <family val="2"/>
      </rPr>
      <t>≥200,000 Btu/hr)</t>
    </r>
  </si>
  <si>
    <t>Gas--Instantaneous, (&lt;200,000 Btu/hr)</t>
  </si>
  <si>
    <t>Gas--Tank Type, (&gt;75,000 Btu/hr), 80 gal</t>
  </si>
  <si>
    <r>
      <t>Gas--Tank Type, (</t>
    </r>
    <r>
      <rPr>
        <sz val="11"/>
        <color indexed="8"/>
        <rFont val="Calibri"/>
        <family val="2"/>
      </rPr>
      <t>≤</t>
    </r>
    <r>
      <rPr>
        <sz val="11"/>
        <color indexed="8"/>
        <rFont val="Calibri"/>
        <family val="2"/>
      </rPr>
      <t>75,000 Btu/hr), 20 gal</t>
    </r>
  </si>
  <si>
    <r>
      <t>Gas--Tank Type, (</t>
    </r>
    <r>
      <rPr>
        <sz val="11"/>
        <color indexed="8"/>
        <rFont val="Calibri"/>
        <family val="2"/>
      </rPr>
      <t>≤</t>
    </r>
    <r>
      <rPr>
        <sz val="11"/>
        <color indexed="8"/>
        <rFont val="Calibri"/>
        <family val="2"/>
      </rPr>
      <t>75,000 Btu/hr), 40 gal</t>
    </r>
  </si>
  <si>
    <t>Heat Exchanger With Boiler--Seasonal</t>
  </si>
  <si>
    <t>Heat Exchanger With Boiler--Year Round</t>
  </si>
  <si>
    <r>
      <t xml:space="preserve">Heat Pump--Tank Type, (≤ 24A &amp; </t>
    </r>
    <r>
      <rPr>
        <sz val="11"/>
        <color indexed="8"/>
        <rFont val="Calibri"/>
        <family val="2"/>
      </rPr>
      <t>≤250V), 20</t>
    </r>
    <r>
      <rPr>
        <sz val="11"/>
        <color indexed="8"/>
        <rFont val="Calibri"/>
        <family val="2"/>
      </rPr>
      <t xml:space="preserve"> gal</t>
    </r>
  </si>
  <si>
    <r>
      <t xml:space="preserve">Heat Pump--Tank Type, (≤ 24A &amp; </t>
    </r>
    <r>
      <rPr>
        <sz val="11"/>
        <color indexed="8"/>
        <rFont val="Calibri"/>
        <family val="2"/>
      </rPr>
      <t>≤250V), 40</t>
    </r>
    <r>
      <rPr>
        <sz val="11"/>
        <color indexed="8"/>
        <rFont val="Calibri"/>
        <family val="2"/>
      </rPr>
      <t xml:space="preserve"> gal</t>
    </r>
  </si>
  <si>
    <t xml:space="preserve"> Pick 1st Energy Recovery Ventilation Type</t>
  </si>
  <si>
    <t xml:space="preserve"> Pick 2nd Energy Recovery Ventilation Type</t>
  </si>
  <si>
    <t>Enthalpy Wheel ERV</t>
  </si>
  <si>
    <t>Thermal Wheel ERV--Heat Only</t>
  </si>
  <si>
    <t>Thermal Wheel ERV--Heat &amp; Cool</t>
  </si>
  <si>
    <t>Water Coil Type ERVs--Heat Only</t>
  </si>
  <si>
    <t>Water Coil Type ERVs--Heat &amp; Cool</t>
  </si>
  <si>
    <t>Heat Pipe ERV Heat Exchanger--Heat Only</t>
  </si>
  <si>
    <t>Heat Pipe ERV Heat Exchanger--Heat &amp; Cool</t>
  </si>
  <si>
    <t>Air to Air ERV Heat Exchanger--Heat Only</t>
  </si>
  <si>
    <t>Air to Air ERV Heat Exchanger--Heat &amp; Cool</t>
  </si>
  <si>
    <t>Project:</t>
  </si>
  <si>
    <t>Entry By:</t>
  </si>
  <si>
    <t>Date:</t>
  </si>
  <si>
    <t>Phone:</t>
  </si>
  <si>
    <t>Email:</t>
  </si>
  <si>
    <t>Enter Project Name</t>
  </si>
  <si>
    <t>Name of Person Filling In Checklist</t>
  </si>
  <si>
    <t>Enter Phone #</t>
  </si>
  <si>
    <t>Enter Email</t>
  </si>
  <si>
    <t>Enter Date</t>
  </si>
  <si>
    <t>Enter Plan Date and/or Version Name</t>
  </si>
  <si>
    <r>
      <t xml:space="preserve">Gas Furnace (Commercial </t>
    </r>
    <r>
      <rPr>
        <sz val="11"/>
        <color indexed="8"/>
        <rFont val="Calibri"/>
        <family val="2"/>
      </rPr>
      <t>≥ 225,000 Btu/hr</t>
    </r>
    <r>
      <rPr>
        <sz val="11"/>
        <color indexed="8"/>
        <rFont val="Calibri"/>
        <family val="2"/>
      </rPr>
      <t>)--Et</t>
    </r>
  </si>
  <si>
    <t>Gas Furnace (Residential &lt; 225,000 Btu/hr)--AFUE</t>
  </si>
  <si>
    <t>Central Heat</t>
  </si>
  <si>
    <t>Heat at Air Handlers</t>
  </si>
  <si>
    <t>Heat at Zones</t>
  </si>
  <si>
    <t>Central Cooling</t>
  </si>
  <si>
    <t>Cooling at Air Handlers</t>
  </si>
  <si>
    <t>Desiccant Unit--Direct Fired</t>
  </si>
  <si>
    <t>Desiccant Unit--Indirect Fired (Internal Boiler)</t>
  </si>
  <si>
    <t>Cooling at Zones</t>
  </si>
  <si>
    <r>
      <t>% Better Than Code*,</t>
    </r>
    <r>
      <rPr>
        <b/>
        <sz val="11"/>
        <color indexed="22"/>
        <rFont val="Calibri"/>
        <family val="2"/>
      </rPr>
      <t>†</t>
    </r>
  </si>
  <si>
    <r>
      <rPr>
        <sz val="11"/>
        <color indexed="8"/>
        <rFont val="Calibri"/>
        <family val="2"/>
      </rPr>
      <t>†</t>
    </r>
    <r>
      <rPr>
        <sz val="11"/>
        <color indexed="8"/>
        <rFont val="Calibri"/>
        <family val="2"/>
      </rPr>
      <t>Displayed '% Better Than Code" values do not consider the energy impact of HVAC system type changes, but rather only the proposed efficiency compared to the minimum energy code requirement for the given type of equipment in the proposed design.</t>
    </r>
  </si>
  <si>
    <t>Roof Insulation</t>
  </si>
  <si>
    <t>Wall Insulation &amp; Building Type</t>
  </si>
  <si>
    <r>
      <t>Gas Boiler (Commercial)--Steam [E</t>
    </r>
    <r>
      <rPr>
        <vertAlign val="subscript"/>
        <sz val="11"/>
        <color indexed="8"/>
        <rFont val="Calibri"/>
        <family val="2"/>
      </rPr>
      <t>t</t>
    </r>
    <r>
      <rPr>
        <sz val="11"/>
        <color indexed="8"/>
        <rFont val="Calibri"/>
        <family val="2"/>
      </rPr>
      <t>]</t>
    </r>
  </si>
  <si>
    <r>
      <t xml:space="preserve">80% Et, SL </t>
    </r>
    <r>
      <rPr>
        <sz val="11"/>
        <color indexed="8"/>
        <rFont val="Calibri"/>
        <family val="2"/>
      </rPr>
      <t>≤ ~1,230 Btu/hr</t>
    </r>
  </si>
  <si>
    <t>0.58 EF</t>
  </si>
  <si>
    <t>0.54 EF</t>
  </si>
  <si>
    <t>Heat Recovery--Refrigeration Condenser</t>
  </si>
  <si>
    <t>Heat Recovery--Other (Add Comment)</t>
  </si>
  <si>
    <t>Solar Thermal--Flat Plate</t>
  </si>
  <si>
    <t>Solar Thermal--Tube</t>
  </si>
  <si>
    <t>80% Et, 900 SL</t>
  </si>
  <si>
    <t>Gas--Tank Type, (&gt;75,000 Btu/hr), 50 gal</t>
  </si>
  <si>
    <t>Electric Resistance--Tank Type, (&gt; 12 kW), 50 gal</t>
  </si>
  <si>
    <t>Electric Resistance--Tank Type, (&gt; 12 kW), 80 gal</t>
  </si>
  <si>
    <t>Electric Resistance--Tank Type, (≤ 12 kW), 20 gal</t>
  </si>
  <si>
    <t>Packaged Terminal Air Conditioner:  1.5 ton</t>
  </si>
  <si>
    <t>Packaged Terminal Heat Pump:  0.5 ton</t>
  </si>
  <si>
    <t>Packaged Terminal Heat Pump:  1.0 ton</t>
  </si>
  <si>
    <t>Packaged Terminal Heat Pump:  1.5 ton</t>
  </si>
  <si>
    <t>11.0 EER</t>
  </si>
  <si>
    <t>8.5 EER</t>
  </si>
  <si>
    <t>Room AC, with Louvered Sides:  &lt;20,000 Btu/hr</t>
  </si>
  <si>
    <r>
      <t xml:space="preserve">Room AC, with Louvered Sides:  </t>
    </r>
    <r>
      <rPr>
        <sz val="11"/>
        <color indexed="8"/>
        <rFont val="Calibri"/>
        <family val="2"/>
      </rPr>
      <t>≥</t>
    </r>
    <r>
      <rPr>
        <sz val="11"/>
        <color indexed="8"/>
        <rFont val="Calibri"/>
        <family val="2"/>
      </rPr>
      <t>20,000 Btu/hr</t>
    </r>
  </si>
  <si>
    <t>Room AC, without Louvered Sides:  &lt;8,000 Btu/hr</t>
  </si>
  <si>
    <t>9.0 EER</t>
  </si>
  <si>
    <r>
      <t xml:space="preserve">Room AC, without Louvered Sides:  </t>
    </r>
    <r>
      <rPr>
        <sz val="11"/>
        <color indexed="8"/>
        <rFont val="Calibri"/>
        <family val="2"/>
      </rPr>
      <t>≥</t>
    </r>
    <r>
      <rPr>
        <sz val="11"/>
        <color indexed="8"/>
        <rFont val="Calibri"/>
        <family val="2"/>
      </rPr>
      <t>8,000 Btu/hr</t>
    </r>
  </si>
  <si>
    <t xml:space="preserve"> Pick 3rd Cooling Source at Zone(s)</t>
  </si>
  <si>
    <t>Passive Ventilation</t>
  </si>
  <si>
    <t>3.0 COP</t>
  </si>
  <si>
    <t>2.9 COP</t>
  </si>
  <si>
    <t>2.7 COP</t>
  </si>
  <si>
    <t>Radiant Panel</t>
  </si>
  <si>
    <t>DX:  ≥ 20 tons and &lt;63.3 tons (per unit), Gas or HW Heat</t>
  </si>
  <si>
    <t>9.3 EER</t>
  </si>
  <si>
    <t>9.1 EER</t>
  </si>
  <si>
    <t>DX:  &gt;11 tons and &lt;20  tons (per unit), Gas or HW Heat</t>
  </si>
  <si>
    <t>DX:  &gt;11 tons and &lt;20 tons (per unit), Electric or No Heat</t>
  </si>
  <si>
    <r>
      <t xml:space="preserve">DX:   </t>
    </r>
    <r>
      <rPr>
        <sz val="11"/>
        <color indexed="8"/>
        <rFont val="Calibri"/>
        <family val="2"/>
      </rPr>
      <t>≤</t>
    </r>
    <r>
      <rPr>
        <sz val="11"/>
        <color indexed="8"/>
        <rFont val="Calibri"/>
        <family val="2"/>
      </rPr>
      <t>5 tons (per unit)</t>
    </r>
  </si>
  <si>
    <r>
      <t xml:space="preserve">Heat Pump--Tank Type, (≤ 24A &amp; </t>
    </r>
    <r>
      <rPr>
        <sz val="11"/>
        <color indexed="8"/>
        <rFont val="Calibri"/>
        <family val="2"/>
      </rPr>
      <t>≤250V), 60</t>
    </r>
    <r>
      <rPr>
        <sz val="11"/>
        <color indexed="8"/>
        <rFont val="Calibri"/>
        <family val="2"/>
      </rPr>
      <t xml:space="preserve"> gal</t>
    </r>
  </si>
  <si>
    <t>Heat Recovery--AC Condenser</t>
  </si>
  <si>
    <t>Heat Recovery--AC Desuperheater</t>
  </si>
  <si>
    <t>Heat Recovery--Refrigeration Desuperheater</t>
  </si>
  <si>
    <t xml:space="preserve"> Pick 1st Water Heater Type</t>
  </si>
  <si>
    <t xml:space="preserve"> Pick 2nd Water Heater Type</t>
  </si>
  <si>
    <t xml:space="preserve"> Pick 3rd Water Heater Type</t>
  </si>
  <si>
    <t>Hot Water Load Reduction Features</t>
  </si>
  <si>
    <t>Use of Renewables</t>
  </si>
  <si>
    <t>RenewablesTbl</t>
  </si>
  <si>
    <t>RenewablesList</t>
  </si>
  <si>
    <t xml:space="preserve"> Pick 1st Renewable Type</t>
  </si>
  <si>
    <t xml:space="preserve"> Pick 2nd Renewable Type</t>
  </si>
  <si>
    <t xml:space="preserve"> Pick 3rd Renewable Type</t>
  </si>
  <si>
    <t xml:space="preserve"> Pick 4th Renewable Type</t>
  </si>
  <si>
    <t>Passive Solar Heating</t>
  </si>
  <si>
    <t>Other Renewable (Add Comment)</t>
  </si>
  <si>
    <t>Solar Thermal--Outdoor Air Preheating</t>
  </si>
  <si>
    <t>Solar Thermal--Domestic Hot Water</t>
  </si>
  <si>
    <t>Solar Thermal--Space Heating</t>
  </si>
  <si>
    <t>Other Energy Features or Comments</t>
  </si>
  <si>
    <t>ERVTbl</t>
  </si>
  <si>
    <t>ERVList</t>
  </si>
  <si>
    <t>VentilationControlTbl</t>
  </si>
  <si>
    <t>Occupancy Sensor(s)</t>
  </si>
  <si>
    <t>Carbon Dioxide Sensor(s) in Return Duct</t>
  </si>
  <si>
    <t>Carbon Monoxide Sensor(s) in Space</t>
  </si>
  <si>
    <t>Carbon Dioxide Sensor(s) in Space</t>
  </si>
  <si>
    <t>% Better Than Code*</t>
  </si>
  <si>
    <t>Centrifugal Chiller--Water Cooled: More Than 299.9 tons</t>
  </si>
  <si>
    <t>Reciprocating Chiller &amp; Air Cooled Condenser</t>
  </si>
  <si>
    <t>Screw Chiller &amp; Air Cooled Condenser</t>
  </si>
  <si>
    <t>4.45 COP, 5.20 IPLV</t>
  </si>
  <si>
    <t>4.90 COP, 5.60 IPLV</t>
  </si>
  <si>
    <t>5.50 COP, 6.15 IPLV</t>
  </si>
  <si>
    <t>Screw Chiller--Water Cooled: &lt;150 tons</t>
  </si>
  <si>
    <t>Screw Chiller--Water Cooled: From 150 up to 299.9 tons</t>
  </si>
  <si>
    <t>Screw Chiller--Water Cooled: More Than 299.9 tons</t>
  </si>
  <si>
    <t>Reciprocating Chiller--Water Cooled: All Sizes</t>
  </si>
  <si>
    <t>4.20 COP, 5.05 IPLV</t>
  </si>
  <si>
    <t>Scroll Chiller &amp; Air Cooled Condenser</t>
  </si>
  <si>
    <t>Scroll Chiller--Water Cooled: &lt;150 tons</t>
  </si>
  <si>
    <t>Scroll Chiller--Water Cooled: From 150 up to 299.9 tons</t>
  </si>
  <si>
    <t>Scroll Chiller--Water Cooled: More Than 299.9 tons</t>
  </si>
  <si>
    <t>0.60 COP</t>
  </si>
  <si>
    <t>0.70 COP</t>
  </si>
  <si>
    <t>Absorption Chiller--Single Effect, Air Cooled</t>
  </si>
  <si>
    <t>Absorption Chiller--Single Effect, Water Cooled</t>
  </si>
  <si>
    <t>Absorption Chiller--Double Effect, Direct-Fired</t>
  </si>
  <si>
    <t>1.00 COP, 1.05 IPLV</t>
  </si>
  <si>
    <t>1.00 COP, 1.00 IPLV</t>
  </si>
  <si>
    <t>Infiltration Reduction</t>
  </si>
  <si>
    <t>Orientation &amp; Other Envelope Features</t>
  </si>
  <si>
    <t>Window Area &amp; Performance</t>
  </si>
  <si>
    <t>Air Handler Types, Ventilation Control &amp; Fan Power</t>
  </si>
  <si>
    <t>Not Required</t>
  </si>
  <si>
    <t>Baseline Design</t>
  </si>
  <si>
    <t>% Better Than Baseline</t>
  </si>
  <si>
    <t>Additional HVAC Efficiency Features</t>
  </si>
  <si>
    <t>1st Special Feature (Add Comment)</t>
  </si>
  <si>
    <t>2nd Special Feature (Add Comment)</t>
  </si>
  <si>
    <t>3rd Special Feature (Add Comment)</t>
  </si>
  <si>
    <t>4th Special Feature (Add Comment)</t>
  </si>
  <si>
    <t>Equipment/Process Load Energy Efficiency</t>
  </si>
  <si>
    <t>EnergyStar Computers</t>
  </si>
  <si>
    <t>EnergyStar Office Equipment (Copiers, Fax Machines, Etc.)</t>
  </si>
  <si>
    <t>Other Equipment or Process Energy Savings Features</t>
  </si>
  <si>
    <t>HWHtrTbl</t>
  </si>
  <si>
    <t>HWHtrList</t>
  </si>
  <si>
    <t>Electric Resistance--Instantaneous</t>
  </si>
  <si>
    <t>0.90 EF</t>
  </si>
  <si>
    <t>0.88 EF</t>
  </si>
  <si>
    <t>0.85 EF</t>
  </si>
  <si>
    <r>
      <t>80% E</t>
    </r>
    <r>
      <rPr>
        <vertAlign val="subscript"/>
        <sz val="11"/>
        <color indexed="8"/>
        <rFont val="Calibri"/>
        <family val="2"/>
      </rPr>
      <t>t</t>
    </r>
  </si>
  <si>
    <t>0.62 EF</t>
  </si>
  <si>
    <r>
      <t xml:space="preserve">SL </t>
    </r>
    <r>
      <rPr>
        <sz val="11"/>
        <color indexed="8"/>
        <rFont val="Calibri"/>
        <family val="2"/>
      </rPr>
      <t>≤ 267 Btu/hr</t>
    </r>
  </si>
  <si>
    <r>
      <t xml:space="preserve">SL </t>
    </r>
    <r>
      <rPr>
        <sz val="11"/>
        <color indexed="8"/>
        <rFont val="Calibri"/>
        <family val="2"/>
      </rPr>
      <t>≤ 333 Btu/hr</t>
    </r>
  </si>
  <si>
    <t>gal</t>
  </si>
  <si>
    <t>Btu/hr</t>
  </si>
  <si>
    <r>
      <t xml:space="preserve">80% Et, SL </t>
    </r>
    <r>
      <rPr>
        <sz val="11"/>
        <color indexed="8"/>
        <rFont val="Calibri"/>
        <family val="2"/>
      </rPr>
      <t>≤ ~900 Btu/hr</t>
    </r>
  </si>
  <si>
    <t>Radiant--High Intensity Electric</t>
  </si>
  <si>
    <t>Baseboard Radiation--Electric</t>
  </si>
  <si>
    <t>Baseboard Radiation--Hot Water</t>
  </si>
  <si>
    <t>Radiator(s)--Panel or Cabinet--Electric</t>
  </si>
  <si>
    <t>Radiator(s)--Panel or Cabinet--Hot Water</t>
  </si>
  <si>
    <t>Radiator(s)--Panel or Cabinet--Steam</t>
  </si>
  <si>
    <t>Electric Resistance Reheat</t>
  </si>
  <si>
    <t>Hot Water Reheat Coil(s)</t>
  </si>
  <si>
    <t>Hot Water Heating Coil(s)</t>
  </si>
  <si>
    <t>None--All Heat at Air Handler Level</t>
  </si>
  <si>
    <t>Heat Pump--Air Source:  5 tons or less (per unit)</t>
  </si>
  <si>
    <t>Heat Pump--Air Source:  from 5 to 11 tons (per unit)</t>
  </si>
  <si>
    <t>Heat Pump--Air Source:  more than 11 tons (per unit)</t>
  </si>
  <si>
    <t>7.4 hspf</t>
  </si>
  <si>
    <t>3.2 COP</t>
  </si>
  <si>
    <t>3.1 COP</t>
  </si>
  <si>
    <t>4.2 COP</t>
  </si>
  <si>
    <t>Heat Pump--Ground Source</t>
  </si>
  <si>
    <t>Heat Pump--Groundwater Source</t>
  </si>
  <si>
    <t>3.6 COP</t>
  </si>
  <si>
    <t>None--All Heat at Zone Level</t>
  </si>
  <si>
    <t>Duct Furnace--Electric Resistance</t>
  </si>
  <si>
    <t>Electric Resistance Heating Coil</t>
  </si>
  <si>
    <t>Electric Resistance Coil in Duct</t>
  </si>
  <si>
    <t>Other (Add Comment to the Right)</t>
  </si>
  <si>
    <r>
      <t>Duct Furnace--Gas (E</t>
    </r>
    <r>
      <rPr>
        <vertAlign val="subscript"/>
        <sz val="11"/>
        <color indexed="8"/>
        <rFont val="Calibri"/>
        <family val="2"/>
      </rPr>
      <t>c</t>
    </r>
    <r>
      <rPr>
        <sz val="11"/>
        <color indexed="8"/>
        <rFont val="Calibri"/>
        <family val="2"/>
      </rPr>
      <t>)</t>
    </r>
  </si>
  <si>
    <r>
      <t>Unit Heater--Gas (E</t>
    </r>
    <r>
      <rPr>
        <vertAlign val="subscript"/>
        <sz val="11"/>
        <color indexed="8"/>
        <rFont val="Calibri"/>
        <family val="2"/>
      </rPr>
      <t>c</t>
    </r>
    <r>
      <rPr>
        <sz val="11"/>
        <color indexed="8"/>
        <rFont val="Calibri"/>
        <family val="2"/>
      </rPr>
      <t>)</t>
    </r>
  </si>
  <si>
    <t>Unit Heater--Electric</t>
  </si>
  <si>
    <t>AirHandlerCoolTbl</t>
  </si>
  <si>
    <t>CentralHtList</t>
  </si>
  <si>
    <t>DX:  &gt; 5 tons up to 11 tons (per unit), Electric or No Heat</t>
  </si>
  <si>
    <t>DX:  &gt; 5 tons up to 11 tons (per unit), Gas or HW Heat</t>
  </si>
  <si>
    <t>Heat Pump--Air Source:     ≤5 tons (per unit)</t>
  </si>
  <si>
    <t>Heat Pump--Air Source:  &gt; 5 tons up to 11 tons, Electric Backup</t>
  </si>
  <si>
    <t>Heat Pump--Air Source:  &gt; 5 tons up to 11 tons, Gas or HW Backup</t>
  </si>
  <si>
    <t>Heat Pump--Air Source:  &gt;11 tons and &lt;20  tons, Electric Backup</t>
  </si>
  <si>
    <t>Heat Pump--Air Source:  &gt;11 tons and &lt;20  tons, Gas or HW Backup</t>
  </si>
  <si>
    <t>Heat Pump--Air Source:  ≥ 20 tons (per unit), Electric Backup</t>
  </si>
  <si>
    <t>Heat Pump--Air Source:  ≥ 20 tons(per unit), Gas or HW Backup</t>
  </si>
  <si>
    <t>8.8 EER, 9.0 IPLV</t>
  </si>
  <si>
    <t>None--All Cooling at Air Handler Level</t>
  </si>
  <si>
    <r>
      <t>Variable Refrigerant Flow--(</t>
    </r>
    <r>
      <rPr>
        <b/>
        <sz val="11"/>
        <color indexed="8"/>
        <rFont val="Calibri"/>
        <family val="2"/>
      </rPr>
      <t>Pick Heat Pump &amp; Comment</t>
    </r>
    <r>
      <rPr>
        <sz val="11"/>
        <color indexed="8"/>
        <rFont val="Calibri"/>
        <family val="2"/>
      </rPr>
      <t>)</t>
    </r>
  </si>
  <si>
    <r>
      <t>Variable Refrigerant Flow--(</t>
    </r>
    <r>
      <rPr>
        <b/>
        <sz val="11"/>
        <color indexed="8"/>
        <rFont val="Calibri"/>
        <family val="2"/>
      </rPr>
      <t>Pick DX or Heat Pump &amp; Comment</t>
    </r>
    <r>
      <rPr>
        <sz val="11"/>
        <color indexed="8"/>
        <rFont val="Calibri"/>
        <family val="2"/>
      </rPr>
      <t>)</t>
    </r>
  </si>
  <si>
    <r>
      <t>Gas Boiler (Commercial)--Hot Water [E</t>
    </r>
    <r>
      <rPr>
        <vertAlign val="subscript"/>
        <sz val="11"/>
        <color indexed="8"/>
        <rFont val="Calibri"/>
        <family val="2"/>
      </rPr>
      <t>t</t>
    </r>
    <r>
      <rPr>
        <sz val="11"/>
        <color indexed="8"/>
        <rFont val="Calibri"/>
        <family val="2"/>
      </rPr>
      <t>]</t>
    </r>
  </si>
  <si>
    <t xml:space="preserve"> Air Side Economizer</t>
  </si>
  <si>
    <t xml:space="preserve"> Pick 3rd Central Heat Source Type</t>
  </si>
  <si>
    <t>Note Any Low Fan Power Feature(s)</t>
  </si>
  <si>
    <t>VentilationControlList</t>
  </si>
  <si>
    <t>1st Additional Building Envelope Special Energy Feature</t>
  </si>
  <si>
    <t>2nd Additional Building Envelope Special Energy Feature</t>
  </si>
  <si>
    <t>3rd Additional Building Envelope Special Energy Feature</t>
  </si>
  <si>
    <t>Heat Recovery from… (Add Comment to the Right)</t>
  </si>
  <si>
    <t>AirHandlerHtTbl</t>
  </si>
  <si>
    <t>ZoneHtTbl</t>
  </si>
  <si>
    <t>AirHandlerTypeTbl</t>
  </si>
  <si>
    <t xml:space="preserve"> Pick 1st Air Handler Type</t>
  </si>
  <si>
    <t xml:space="preserve"> Pick 2nd Air Handler Type</t>
  </si>
  <si>
    <t xml:space="preserve"> Pick 3rd Air Handler Type</t>
  </si>
  <si>
    <t xml:space="preserve"> Pick 4th Air Handler Type</t>
  </si>
  <si>
    <t>Design Comments</t>
  </si>
  <si>
    <t>Design Comment</t>
  </si>
  <si>
    <t>Simulation Comments</t>
  </si>
  <si>
    <t>Dedicated Outdoor Air System (in Tandem with Other System[s])</t>
  </si>
  <si>
    <t>% of Area Served</t>
  </si>
  <si>
    <t>HVAC</t>
  </si>
  <si>
    <t>Make-Up Air Unit (No Other Handler for the Area)</t>
  </si>
  <si>
    <t>Constant Volume Single Zone Unit(s)</t>
  </si>
  <si>
    <t>Max Duct Static Pressure</t>
  </si>
  <si>
    <t xml:space="preserve"> Pick 1st Ventilation Control</t>
  </si>
  <si>
    <t xml:space="preserve"> Pick 1st Heat Source at Air Handler(s)</t>
  </si>
  <si>
    <t xml:space="preserve"> Pick 2nd Heat Source at Air Handler(s)</t>
  </si>
  <si>
    <t xml:space="preserve"> Pick 3rd Heat Source at Air Handler(s)</t>
  </si>
  <si>
    <t>Absorption Chiller--Double Effect, Indirect-Fired</t>
  </si>
  <si>
    <r>
      <rPr>
        <sz val="11"/>
        <color indexed="8"/>
        <rFont val="Symbol"/>
        <family val="1"/>
      </rPr>
      <t>³</t>
    </r>
    <r>
      <rPr>
        <sz val="11"/>
        <color indexed="8"/>
        <rFont val="Calibri"/>
        <family val="2"/>
      </rPr>
      <t>176,000 Btu/hr/hp</t>
    </r>
  </si>
  <si>
    <r>
      <rPr>
        <sz val="11"/>
        <color indexed="8"/>
        <rFont val="Symbol"/>
        <family val="1"/>
      </rPr>
      <t>³</t>
    </r>
    <r>
      <rPr>
        <sz val="11"/>
        <color indexed="8"/>
        <rFont val="Calibri"/>
        <family val="2"/>
      </rPr>
      <t xml:space="preserve">20.0 </t>
    </r>
    <r>
      <rPr>
        <sz val="11"/>
        <color indexed="8"/>
        <rFont val="Calibri"/>
        <family val="2"/>
      </rPr>
      <t>gpm/hp</t>
    </r>
  </si>
  <si>
    <r>
      <rPr>
        <sz val="11"/>
        <color indexed="8"/>
        <rFont val="Symbol"/>
        <family val="1"/>
      </rPr>
      <t>³</t>
    </r>
    <r>
      <rPr>
        <sz val="11"/>
        <color indexed="8"/>
        <rFont val="Calibri"/>
        <family val="2"/>
      </rPr>
      <t>38.2 gpm/hp</t>
    </r>
  </si>
  <si>
    <t xml:space="preserve"> Pick 1st Central Cooling Source Type</t>
  </si>
  <si>
    <t xml:space="preserve"> Pick 2nd Central Cooling Source Type</t>
  </si>
  <si>
    <t xml:space="preserve"> Pick 3rd Central Cooling Source Type</t>
  </si>
  <si>
    <t xml:space="preserve"> Pick 1st Central Heat Source Type</t>
  </si>
  <si>
    <t xml:space="preserve"> Pick 2nd Central Heat Source Type</t>
  </si>
  <si>
    <t>Run-Around Coil</t>
  </si>
  <si>
    <t>Run-Around Reheat Coil</t>
  </si>
  <si>
    <t>12.0 SEER</t>
  </si>
  <si>
    <t>10.3 EER</t>
  </si>
  <si>
    <t>10.1 EER</t>
  </si>
  <si>
    <t>9.7 EER</t>
  </si>
  <si>
    <t>9.5 EER</t>
  </si>
  <si>
    <t>DX:  ≥ 20 tons and &lt;63.3 tons (per unit), Electric or No Heat</t>
  </si>
  <si>
    <t>9.5 EER, 9.7 IPLV</t>
  </si>
  <si>
    <t>9.3 EER, 9.5 IPLV</t>
  </si>
  <si>
    <t>DX:  ≥ 63.3 tons (per unit), Electric or No Heat</t>
  </si>
  <si>
    <t>DX:  ≥ 63.3 tons (per unit), Heat</t>
  </si>
  <si>
    <t>9.2 EER, 9.4 IPLV</t>
  </si>
  <si>
    <t>9.0 EER, 9.2 IPLV</t>
  </si>
  <si>
    <t>Heat Pump--Water Loop: 11+ tons</t>
  </si>
  <si>
    <t>12.0 EER</t>
  </si>
  <si>
    <t>Heat Pump--Water Loop:  1.5 up to 11 tons</t>
  </si>
  <si>
    <t>Heat Pump--Water Loop:  &lt; 1.5 tons</t>
  </si>
  <si>
    <t>11.2 EER</t>
  </si>
  <si>
    <t>13.4 EER</t>
  </si>
  <si>
    <t>16.2 EER</t>
  </si>
  <si>
    <t>Variable Refrigerant Flow Condensing Unit</t>
  </si>
  <si>
    <t>Packaged Terminal Air Conditioner:  0.5 ton</t>
  </si>
  <si>
    <t>9.9 EER</t>
  </si>
  <si>
    <t>8.7 EER</t>
  </si>
  <si>
    <t>Packaged Terminal Air Conditioner:  1.0 ton</t>
  </si>
  <si>
    <t>Radiant--High Intensity Gas</t>
  </si>
  <si>
    <t>R-13 + R-13 ci†</t>
  </si>
  <si>
    <t>R-13 + R-3.8 ci†</t>
  </si>
  <si>
    <t>R-13 + R-7.5 ci†</t>
  </si>
  <si>
    <t>†Continuous insulation (as opposed to insulation in a cavity with studs or other thermal bridging structure) is denoted by "ci".</t>
  </si>
  <si>
    <t>-</t>
  </si>
  <si>
    <t>1st Fixed Vertical Glazing Type</t>
  </si>
  <si>
    <t>1st Operable Vertical Glazing Type</t>
  </si>
  <si>
    <t>2nd Fixed Vertical Glazing Type</t>
  </si>
  <si>
    <t>2nd Operable Vertical Glazing Type</t>
  </si>
  <si>
    <t>Glazing At Semiheated Area--Fixed</t>
  </si>
  <si>
    <t>Glazing At Semiheated Area--Operable</t>
  </si>
  <si>
    <t xml:space="preserve"> Pick 2nd Roof Insulation Type</t>
  </si>
  <si>
    <t xml:space="preserve"> Pick 3rd Roof Insulation Type</t>
  </si>
  <si>
    <t xml:space="preserve"> Pick 1st Roof Insulation Type</t>
  </si>
  <si>
    <t xml:space="preserve"> Pick 1st Exterior Wall &amp; Building Use</t>
  </si>
  <si>
    <t xml:space="preserve"> Pick 2nd Exterior Wall &amp; Building Use</t>
  </si>
  <si>
    <t xml:space="preserve"> Pick 3rd Exterior Wall &amp; Building Use</t>
  </si>
  <si>
    <t xml:space="preserve"> Pick Climate Zone</t>
  </si>
  <si>
    <t xml:space="preserve"> Pick 1st Special Feature to Minimize Infiltration</t>
  </si>
  <si>
    <t>AirHandlerTypeList</t>
  </si>
  <si>
    <t>AirHandlerHtList</t>
  </si>
  <si>
    <t>ZoneHtList</t>
  </si>
  <si>
    <t>AirHandlerCoolList</t>
  </si>
  <si>
    <t>ZoneCoolTbl</t>
  </si>
  <si>
    <t>ZoneCoolList</t>
  </si>
  <si>
    <t xml:space="preserve"> Pick 3rd Cooling Source at Air Handler(s)</t>
  </si>
  <si>
    <t>Evaporative Cooling--Direct/Indirect</t>
  </si>
  <si>
    <t>Energy Recovery Ventilation--Total Enthalpy</t>
  </si>
  <si>
    <t>Energy Recovery Ventilation--Sensible Only</t>
  </si>
  <si>
    <t>Chilled Water Coil(s)</t>
  </si>
  <si>
    <t>None--All Cooling at Zone Level</t>
  </si>
  <si>
    <t>Evaporative Cooling--Directly in Supply Air</t>
  </si>
  <si>
    <t>CentralCoolTbl</t>
  </si>
  <si>
    <t>CentralCoolList</t>
  </si>
  <si>
    <t>Water Side Economizer</t>
  </si>
  <si>
    <t>District Energy Chilled Water</t>
  </si>
  <si>
    <t>2.80 COP, 3.05 IPLV</t>
  </si>
  <si>
    <t>Centrifugal Chiller &amp; Air Cooled Condenser</t>
  </si>
  <si>
    <t>Air-Cooled Condenser</t>
  </si>
  <si>
    <t>Cooling Tower--Axial/Propeller Fan</t>
  </si>
  <si>
    <t>Cooling Tower--Centrifugal Fan</t>
  </si>
  <si>
    <t>5.00 COP, 5.25 IPLV</t>
  </si>
  <si>
    <t>Centrifugal Chiller--Water Cooled: &lt;150 tons</t>
  </si>
  <si>
    <t>5.55 COP, 5.90 IPLV</t>
  </si>
  <si>
    <t>6.10 COP, 6.40 IPLV</t>
  </si>
  <si>
    <t>Centrifugal Chiller--Water Cooled: From 150 up to 299.9 tons</t>
  </si>
  <si>
    <t>District Hot Water</t>
  </si>
  <si>
    <t>District Steam</t>
  </si>
  <si>
    <t>Combined Heat &amp; Power Boiler</t>
  </si>
  <si>
    <t>No Central Heating Plant</t>
  </si>
  <si>
    <t>North Wall % Window to Wall Area</t>
  </si>
  <si>
    <t>South Wall % Window to Wall Area</t>
  </si>
  <si>
    <t>East &amp; West Walls % Window to Wall Area</t>
  </si>
  <si>
    <t>Building Orientation:  % of Exterior Exposure Facing North or South</t>
  </si>
  <si>
    <t>Semiheated--All Insulation Above Deck</t>
  </si>
  <si>
    <t>Insulation NOT All Above Deck</t>
  </si>
  <si>
    <t>Semiheated--Insulation NOT All Above Deck</t>
  </si>
  <si>
    <t>RoofRTbl</t>
  </si>
  <si>
    <t>WallRTbl</t>
  </si>
  <si>
    <t>Mass Wall Exterior (Nonresidential)</t>
  </si>
  <si>
    <t>Metal Wall Exterior (Nonresidential)</t>
  </si>
  <si>
    <t>Steel Framed Exterior Wall (Nonresidential)</t>
  </si>
  <si>
    <t>Wood Framed Exterior Wall (Nonresidential)</t>
  </si>
  <si>
    <t>Mass Wall Exterior (Residential)</t>
  </si>
  <si>
    <t>Mass Wall Exterior (Semiheated)</t>
  </si>
  <si>
    <t>Metal Wall Exterior (Residential)</t>
  </si>
  <si>
    <t>Metal Wall Exterior (Semiheated)</t>
  </si>
  <si>
    <t>Steel Framed Exterior Wall (Residential)</t>
  </si>
  <si>
    <t>Steel Framed Exterior Wall (Semiheated)</t>
  </si>
  <si>
    <t>Wood Framed Exterior Wall (Semiheated)</t>
  </si>
  <si>
    <t>R-13</t>
  </si>
  <si>
    <t>R-??</t>
  </si>
  <si>
    <t xml:space="preserve"> Pick 1st Heat Source at Zone(s)</t>
  </si>
  <si>
    <t xml:space="preserve"> Pick 2nd Heat Source at Zone(s)</t>
  </si>
  <si>
    <t xml:space="preserve"> Pick 2nd Cooling Source at Air Handler(s)</t>
  </si>
  <si>
    <t xml:space="preserve"> Pick 1st Cooling Source at Air Handler(s)</t>
  </si>
  <si>
    <t xml:space="preserve"> Pick 3rd Heat Source at Zone(s)</t>
  </si>
  <si>
    <t xml:space="preserve"> Pick 1st Cooling Source at Zone(s)</t>
  </si>
  <si>
    <t xml:space="preserve"> Pick 2nd Cooling Source at Zone(s)</t>
  </si>
  <si>
    <t>Solar Thermal Panel</t>
  </si>
  <si>
    <t>Solar Thermal Tube</t>
  </si>
  <si>
    <t>Constant Volume Multi-Zone Unit(s)</t>
  </si>
  <si>
    <t>Heat Recovery from AC Condenser</t>
  </si>
  <si>
    <t>Glycol Coil(s)</t>
  </si>
  <si>
    <t>Hot Water Coil(s)</t>
  </si>
  <si>
    <t>Steam Coil(s)</t>
  </si>
  <si>
    <t>Heat Pump--Water Loop</t>
  </si>
  <si>
    <t>Groundwater or Pond Heat Pump Loop</t>
  </si>
  <si>
    <t>Ground Coupled Heat Pump Loops--Vertical</t>
  </si>
  <si>
    <t>Ground Coupled Heat Pump Loops--Horizontal</t>
  </si>
  <si>
    <t>Radiant Tube--Gas Fired</t>
  </si>
  <si>
    <t>Radiant Panel--Hot Water</t>
  </si>
  <si>
    <t>Radiant Panel--Electric</t>
  </si>
  <si>
    <t>Radiant Floor--Electric</t>
  </si>
  <si>
    <t>Radiant Floor--Hot Water</t>
  </si>
  <si>
    <t>Commisisoning of Envelope</t>
  </si>
  <si>
    <t>Air Leakage Testing (Note Target in Comment)</t>
  </si>
  <si>
    <t>Other (Add Comment to the Far Right)</t>
  </si>
  <si>
    <t>Detail Air Barrier at All Transitions (e.g. Roof-Wall)</t>
  </si>
  <si>
    <t>MN Energy Code* 2009-</t>
  </si>
  <si>
    <r>
      <rPr>
        <sz val="11"/>
        <color indexed="8"/>
        <rFont val="Calibri"/>
        <family val="2"/>
      </rPr>
      <t xml:space="preserve">→  </t>
    </r>
    <r>
      <rPr>
        <sz val="11"/>
        <color indexed="8"/>
        <rFont val="Calibri"/>
        <family val="2"/>
      </rPr>
      <t>Enter building design information below.</t>
    </r>
  </si>
  <si>
    <r>
      <t xml:space="preserve">→  Drop-down lists are used in the far left column when the text begins with </t>
    </r>
    <r>
      <rPr>
        <b/>
        <sz val="11"/>
        <color indexed="8"/>
        <rFont val="Calibri"/>
        <family val="2"/>
      </rPr>
      <t>Pick</t>
    </r>
    <r>
      <rPr>
        <sz val="11"/>
        <color indexed="8"/>
        <rFont val="Calibri"/>
        <family val="2"/>
      </rPr>
      <t>.</t>
    </r>
  </si>
  <si>
    <t>→  A number of cells are locked.</t>
  </si>
  <si>
    <t>→  Additional information should be entered when appropriate to the project.</t>
  </si>
  <si>
    <t>R-23 ci†</t>
  </si>
  <si>
    <t>R-16.6 ci†</t>
  </si>
  <si>
    <t>R-9.5 ci†</t>
  </si>
  <si>
    <t>R-11.4 ci†</t>
  </si>
  <si>
    <t>Auto Off (Occupancy Sensor)</t>
  </si>
  <si>
    <t>IPLV (6-11.5 tons)</t>
  </si>
  <si>
    <t>Boiler (Residential)--AFUE</t>
  </si>
  <si>
    <t>Et (&gt;100 gal or 75,000 Btu/hr)</t>
  </si>
  <si>
    <t>Gallons/Hour</t>
  </si>
  <si>
    <t>BTU/Year</t>
  </si>
  <si>
    <t>Final Design</t>
  </si>
  <si>
    <t>Motion Sensor(s)</t>
  </si>
  <si>
    <t>Yes--Dry Bulb</t>
  </si>
  <si>
    <t>Automatic Daylighting</t>
  </si>
  <si>
    <t>SEER (&lt; 6 tons)</t>
  </si>
  <si>
    <t>Furnace (Commercial)--Et</t>
  </si>
  <si>
    <t>Select Rating</t>
  </si>
  <si>
    <t>Based On---&gt;</t>
  </si>
  <si>
    <t>Gallons/Minute</t>
  </si>
  <si>
    <t>kW (kiloWatts)</t>
  </si>
  <si>
    <t>Manual Estimate</t>
  </si>
  <si>
    <t>Select ERV</t>
  </si>
  <si>
    <t>Select DCV Control</t>
  </si>
  <si>
    <t>Yes--Enthaly</t>
  </si>
  <si>
    <t>Continuous or Manual</t>
  </si>
  <si>
    <t>--&gt;   --&gt;   --&gt; --&gt;</t>
  </si>
  <si>
    <t xml:space="preserve"> Pick 2nd Special Feature to Minimize Infiltration</t>
  </si>
  <si>
    <t xml:space="preserve"> Pick 3rd Special Feature to Minimize Infiltration</t>
  </si>
  <si>
    <t>% of Asssembly Area</t>
  </si>
  <si>
    <t xml:space="preserve"> Pick 1st Building Type</t>
  </si>
  <si>
    <t xml:space="preserve"> Pick 2nd Building Type</t>
  </si>
  <si>
    <t xml:space="preserve"> Pick 3rd Building Type</t>
  </si>
  <si>
    <t>†Lighting power density in units of Watts per square foot are denoted by wsf.</t>
  </si>
  <si>
    <t>Lighting Power Density &amp; Control</t>
  </si>
  <si>
    <t>% of Project Area</t>
  </si>
  <si>
    <t>Daylighting With Automatic Photocell Control</t>
  </si>
  <si>
    <t>Daylighting With Manual Control (e.g. Perimter Offices with Switches)</t>
  </si>
  <si>
    <t>Scheduled Control of Lighting (e.g. BAS After Hours Sweep)</t>
  </si>
  <si>
    <t>Occupancy Sensor Control of Rooms</t>
  </si>
  <si>
    <t>CentralHtTbl</t>
  </si>
  <si>
    <t>Gas Boiler (Residential)--AFUE</t>
  </si>
  <si>
    <t>Electric Boiler</t>
  </si>
  <si>
    <t>Dining: Cafeteria/Fast Food</t>
  </si>
  <si>
    <t>1.4</t>
  </si>
  <si>
    <t>Dining: Family</t>
  </si>
  <si>
    <t>1.6</t>
  </si>
  <si>
    <t>Dormitory</t>
  </si>
  <si>
    <t>1.0</t>
  </si>
  <si>
    <t>Exercise Center</t>
  </si>
  <si>
    <t>Gymnasium</t>
  </si>
  <si>
    <t>1.1</t>
  </si>
  <si>
    <t>Health Care-Clinic</t>
  </si>
  <si>
    <t>Hospital</t>
  </si>
  <si>
    <t>Hotel</t>
  </si>
  <si>
    <t>Library</t>
  </si>
  <si>
    <t>Manufacturing Facility</t>
  </si>
  <si>
    <t>Motel</t>
  </si>
  <si>
    <t>Motion Picture Theater</t>
  </si>
  <si>
    <t>Multi-Family</t>
  </si>
  <si>
    <t>0.7</t>
  </si>
  <si>
    <t>Museum</t>
  </si>
  <si>
    <t>Office</t>
  </si>
  <si>
    <t>Parking Garage</t>
  </si>
  <si>
    <t>0.3</t>
  </si>
  <si>
    <t>Penitentiary</t>
  </si>
  <si>
    <t>Performing Arts Theater</t>
  </si>
  <si>
    <t>Police/Fire Station</t>
  </si>
  <si>
    <t>Post Office</t>
  </si>
  <si>
    <t>Religious Building</t>
  </si>
  <si>
    <t>Retail</t>
  </si>
  <si>
    <t>1.5</t>
  </si>
  <si>
    <t>School/University</t>
  </si>
  <si>
    <t>Sports Arena</t>
  </si>
  <si>
    <t>Town Hall</t>
  </si>
  <si>
    <t>Transportation</t>
  </si>
  <si>
    <t>Warehouse</t>
  </si>
  <si>
    <t>0.8</t>
  </si>
  <si>
    <t>Workshop</t>
  </si>
  <si>
    <t>Building Type</t>
  </si>
  <si>
    <t>From ASHRAE 90.1 2004</t>
  </si>
  <si>
    <t>Building Level Lighting Power Density</t>
  </si>
  <si>
    <t>wsf</t>
  </si>
  <si>
    <t>&lt;----  &lt;----  &lt;----</t>
  </si>
  <si>
    <t>R-30</t>
  </si>
  <si>
    <t>R-19</t>
  </si>
  <si>
    <t>All Insulation Above Deck</t>
  </si>
  <si>
    <t>Furnace (Residential)--AFUE</t>
  </si>
  <si>
    <t>Gallons/Year</t>
  </si>
  <si>
    <t>kWh/Day (kiloWatt Hours)</t>
  </si>
  <si>
    <t>Select Control</t>
  </si>
  <si>
    <t xml:space="preserve">Based On--&gt;  </t>
  </si>
  <si>
    <t>Select Units</t>
  </si>
  <si>
    <t>kWh/Year (kiloWatt Hours)</t>
  </si>
  <si>
    <t>Unit Heater/Duct Furnace--Ec</t>
  </si>
  <si>
    <t>Automotive Facility</t>
  </si>
  <si>
    <t>0.9</t>
  </si>
  <si>
    <t>Convention Center</t>
  </si>
  <si>
    <t>1.2</t>
  </si>
  <si>
    <t>Court House</t>
  </si>
  <si>
    <t>Dining: Bar Lounge/Leisure</t>
  </si>
  <si>
    <t>1.3</t>
  </si>
  <si>
    <t>Wood Framed Ext. Wall (Residential)-Southern MN</t>
  </si>
  <si>
    <t>Wood Framed Ext. Wall (Residential)-Northern MN</t>
  </si>
  <si>
    <t>% Window to Gross Wall Area</t>
  </si>
  <si>
    <t>WallRTblList</t>
  </si>
  <si>
    <t>RoofRTblList</t>
  </si>
  <si>
    <t>DefaultChoice</t>
  </si>
  <si>
    <t>DefaultValue</t>
  </si>
  <si>
    <t>DefaultPercent</t>
  </si>
  <si>
    <t>ClimateZone</t>
  </si>
  <si>
    <t>Northern Minnesota (Zone 7)</t>
  </si>
  <si>
    <t>Southern Minnesota (Zone 6A)</t>
  </si>
  <si>
    <t>InfiltrationTbl</t>
  </si>
  <si>
    <t>None (Air Barrier Noted on Plans)</t>
  </si>
  <si>
    <t>Exterior Finish Insulation System (Prefab)</t>
  </si>
  <si>
    <t>Structurally Insulated Panels</t>
  </si>
  <si>
    <t>Interior High Density Spray Foam</t>
  </si>
  <si>
    <t>Exterior Hight Density Spray Foam</t>
  </si>
  <si>
    <t>Proposed Design</t>
  </si>
  <si>
    <t>Envelope</t>
  </si>
  <si>
    <t>Fuel Types</t>
  </si>
  <si>
    <t>VAV Single Zone(s)</t>
  </si>
  <si>
    <t>VAV Multiple Zones</t>
  </si>
  <si>
    <t>Domestic Water Heating</t>
  </si>
  <si>
    <t>Condenser Heat Recovery</t>
  </si>
  <si>
    <t>% of Load</t>
  </si>
  <si>
    <t>Radiant Floor</t>
  </si>
  <si>
    <t>Chilled Beams</t>
  </si>
  <si>
    <t>Solar PV</t>
  </si>
  <si>
    <t>On-Site Wind</t>
  </si>
  <si>
    <t>ERV Table</t>
  </si>
  <si>
    <t>Do we need ERV effectiveness entered???</t>
  </si>
  <si>
    <t>DCV Table</t>
  </si>
  <si>
    <t>EconomizerTable</t>
  </si>
  <si>
    <t>Must be in alphabetical order</t>
  </si>
  <si>
    <t>Check with Mark H &amp; Martha</t>
  </si>
  <si>
    <t>CoolTable</t>
  </si>
  <si>
    <t>HeatTable</t>
  </si>
  <si>
    <t xml:space="preserve">Residential water heater EF is based on size--40 gallon assumed </t>
  </si>
  <si>
    <t>ERV Options</t>
  </si>
  <si>
    <t>HtCoolSvgs</t>
  </si>
  <si>
    <t>FanSvgs</t>
  </si>
  <si>
    <t>DCV Options</t>
  </si>
  <si>
    <t>EconomizerOptions</t>
  </si>
  <si>
    <t>CoolSvgs</t>
  </si>
  <si>
    <t>LightingControls</t>
  </si>
  <si>
    <t>Light Svgs</t>
  </si>
  <si>
    <t>ACrating</t>
  </si>
  <si>
    <t>Standard</t>
  </si>
  <si>
    <t>MNCode2009</t>
  </si>
  <si>
    <t>HeatRatings</t>
  </si>
  <si>
    <t>SHWratings</t>
  </si>
  <si>
    <t>SHWload</t>
  </si>
  <si>
    <t>ProcessLoadUnits</t>
  </si>
  <si>
    <t>Outdoor Air Flow Based On</t>
  </si>
  <si>
    <t>Heating and Cooling</t>
  </si>
  <si>
    <t>Carbon Dioxide Sensor(s)</t>
  </si>
  <si>
    <t>No Economizer</t>
  </si>
  <si>
    <t>Auto Off Plus Daylighting</t>
  </si>
  <si>
    <t>EER (6-11.5 tons)</t>
  </si>
  <si>
    <t>Boiler (Commercial)--Et</t>
  </si>
  <si>
    <t>Energy Factor (Residential)</t>
  </si>
  <si>
    <t>Gallons/Day</t>
  </si>
  <si>
    <t>BTU/Hour</t>
  </si>
  <si>
    <t>Default Estimate (20% OA)</t>
  </si>
  <si>
    <t>Heating Only</t>
  </si>
  <si>
    <t>None</t>
  </si>
  <si>
    <t>Select Economizer</t>
  </si>
  <si>
    <r>
      <t>Area With Demand Control Ventilation</t>
    </r>
    <r>
      <rPr>
        <u/>
        <sz val="10"/>
        <color rgb="FFFF0000"/>
        <rFont val="Calibri"/>
        <family val="2"/>
      </rPr>
      <t xml:space="preserve"> (Required for 500+sf high occupancy spaces)</t>
    </r>
  </si>
  <si>
    <r>
      <t>Area With Energy Recovery Ventilation</t>
    </r>
    <r>
      <rPr>
        <u/>
        <sz val="10"/>
        <color rgb="FFFF0000"/>
        <rFont val="Calibri"/>
        <family val="2"/>
      </rPr>
      <t xml:space="preserve"> (Required where 5,000+cfm &amp; 70%+ outside air)</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</si>
</sst>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000%"/>
    <numFmt numFmtId="166" formatCode="0.00&quot; wsf†&quot;"/>
    <numFmt numFmtId="167" formatCode="0.0"/>
    <numFmt numFmtId="168" formatCode="_(* #,##0_);_(* \(#,##0\);_(* &quot;-&quot;??_);_(@_)"/>
  </numFmts>
  <fonts count="23" x14ac:knownFonts="1">
    <font>
      <sz val="11"/>
      <color indexed="8"/>
      <name val="Calibri"/>
      <family val="2"/>
    </font>
    <font>
      <sz val="11"/>
      <color indexed="8"/>
      <name val="Calibri"/>
      <family val="2"/>
    </font>
    <font>
      <b/>
      <sz val="11"/>
      <color indexed="22"/>
      <name val="Calibri"/>
      <family val="2"/>
    </font>
    <font>
      <sz val="11"/>
      <color indexed="10"/>
      <name val="Calibri"/>
      <family val="2"/>
    </font>
    <font>
      <b/>
      <sz val="11"/>
      <color indexed="10"/>
      <name val="Calibri"/>
      <family val="2"/>
    </font>
    <font>
      <i/>
      <sz val="11"/>
      <color indexed="62"/>
      <name val="Calibri"/>
      <family val="2"/>
    </font>
    <font>
      <u/>
      <sz val="11"/>
      <color indexed="8"/>
      <name val="Calibri"/>
      <family val="2"/>
    </font>
    <font>
      <b/>
      <u/>
      <sz val="11"/>
      <color indexed="8"/>
      <name val="Calibri"/>
      <family val="2"/>
    </font>
    <font>
      <sz val="11"/>
      <name val="Calibri"/>
      <family val="2"/>
    </font>
    <font>
      <b/>
      <sz val="11"/>
      <color indexed="8"/>
      <name val="Calibri"/>
      <family val="2"/>
    </font>
    <font>
      <b/>
      <i/>
      <sz val="11"/>
      <color indexed="10"/>
      <name val="Calibri"/>
      <family val="2"/>
    </font>
    <font>
      <sz val="11"/>
      <color indexed="8"/>
      <name val="Calibri"/>
      <family val="2"/>
    </font>
    <font>
      <sz val="9"/>
      <name val="Calibri"/>
      <family val="2"/>
    </font>
    <font>
      <vertAlign val="subscript"/>
      <sz val="11"/>
      <color indexed="8"/>
      <name val="Calibri"/>
      <family val="2"/>
    </font>
    <font>
      <sz val="11"/>
      <color indexed="8"/>
      <name val="Symbol"/>
      <family val="1"/>
    </font>
    <font>
      <b/>
      <sz val="14"/>
      <color indexed="8"/>
      <name val="Calibri"/>
      <family val="2"/>
    </font>
    <font>
      <b/>
      <u/>
      <sz val="14"/>
      <color indexed="8"/>
      <name val="Calibri"/>
      <family val="2"/>
    </font>
    <font>
      <u/>
      <sz val="10"/>
      <color indexed="8"/>
      <name val="Calibri"/>
      <family val="2"/>
    </font>
    <font>
      <b/>
      <i/>
      <sz val="11"/>
      <color indexed="30"/>
      <name val="Calibri"/>
      <family val="2"/>
    </font>
    <font>
      <sz val="8"/>
      <name val="Verdana"/>
      <family val="2"/>
    </font>
    <font>
      <sz val="11"/>
      <color rgb="FFFF0000"/>
      <name val="Calibri"/>
      <family val="2"/>
    </font>
    <font>
      <u/>
      <sz val="10"/>
      <color rgb="FFFF0000"/>
      <name val="Calibri"/>
      <family val="2"/>
    </font>
    <font>
      <b/>
      <sz val="11"/>
      <color rgb="FFFF0000"/>
      <name val="Calibri"/>
      <family val="2"/>
    </font>
  </fonts>
  <fills count="8">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lightUp">
        <bgColor indexed="22"/>
      </patternFill>
    </fill>
    <fill>
      <patternFill patternType="lightUp"/>
    </fill>
    <fill>
      <patternFill patternType="solid">
        <fgColor indexed="9"/>
        <bgColor indexed="64"/>
      </patternFill>
    </fill>
    <fill>
      <patternFill patternType="solid">
        <fgColor theme="0" tint="-0.249977111117893"/>
        <bgColor indexed="64"/>
      </patternFill>
    </fill>
  </fills>
  <borders count="6">
    <border>
      <left/>
      <right/>
      <top/>
      <bottom/>
      <diagonal/>
    </border>
    <border>
      <left/>
      <right/>
      <top/>
      <bottom style="dotted">
        <color indexed="64"/>
      </bottom>
      <diagonal/>
    </border>
    <border>
      <left/>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0" fillId="0" borderId="0" xfId="0" applyAlignment="1">
      <alignment horizontal="center"/>
    </xf>
    <xf numFmtId="0" fontId="2" fillId="2" borderId="0" xfId="0" applyFont="1" applyFill="1"/>
    <xf numFmtId="0" fontId="2" fillId="2" borderId="0" xfId="0" applyFont="1" applyFill="1" applyAlignment="1">
      <alignment horizontal="center" wrapText="1"/>
    </xf>
    <xf numFmtId="0" fontId="0" fillId="0" borderId="0" xfId="0" applyAlignment="1">
      <alignment horizontal="center" wrapText="1"/>
    </xf>
    <xf numFmtId="0" fontId="0" fillId="0" borderId="0" xfId="0" applyFont="1"/>
    <xf numFmtId="0" fontId="0" fillId="2" borderId="0" xfId="0" applyFill="1" applyAlignment="1">
      <alignment horizontal="center"/>
    </xf>
    <xf numFmtId="0" fontId="2" fillId="2" borderId="0" xfId="0" applyFont="1" applyFill="1" applyAlignment="1">
      <alignment horizontal="left" wrapText="1"/>
    </xf>
    <xf numFmtId="9" fontId="0" fillId="0" borderId="0" xfId="2" applyFont="1" applyAlignment="1">
      <alignment horizontal="center"/>
    </xf>
    <xf numFmtId="0" fontId="0" fillId="0" borderId="0" xfId="0" quotePrefix="1"/>
    <xf numFmtId="0" fontId="0" fillId="0" borderId="0" xfId="0" applyAlignment="1">
      <alignment horizontal="left"/>
    </xf>
    <xf numFmtId="0" fontId="7" fillId="0" borderId="0" xfId="0" applyFont="1"/>
    <xf numFmtId="0" fontId="7" fillId="0" borderId="0" xfId="0" applyFont="1" applyAlignment="1">
      <alignment horizontal="center"/>
    </xf>
    <xf numFmtId="0" fontId="8" fillId="0" borderId="0" xfId="0" applyFont="1" applyAlignment="1">
      <alignment horizontal="center"/>
    </xf>
    <xf numFmtId="0" fontId="8" fillId="3" borderId="0" xfId="0" applyFont="1" applyFill="1"/>
    <xf numFmtId="0" fontId="8" fillId="3" borderId="0" xfId="0" applyFont="1" applyFill="1" applyAlignment="1">
      <alignment horizontal="center"/>
    </xf>
    <xf numFmtId="9" fontId="8" fillId="3" borderId="0" xfId="2" applyFont="1" applyFill="1" applyAlignment="1">
      <alignment horizontal="center"/>
    </xf>
    <xf numFmtId="2" fontId="8" fillId="6" borderId="0" xfId="0" applyNumberFormat="1" applyFont="1" applyFill="1" applyAlignment="1">
      <alignment horizontal="center"/>
    </xf>
    <xf numFmtId="9" fontId="8" fillId="0" borderId="0" xfId="2" applyFont="1" applyAlignment="1">
      <alignment horizontal="center"/>
    </xf>
    <xf numFmtId="165" fontId="8" fillId="0" borderId="0" xfId="2" applyNumberFormat="1" applyFont="1" applyAlignment="1">
      <alignment horizontal="center"/>
    </xf>
    <xf numFmtId="165" fontId="0" fillId="0" borderId="0" xfId="2" applyNumberFormat="1" applyFont="1"/>
    <xf numFmtId="0" fontId="0" fillId="3" borderId="0" xfId="0" applyFill="1" applyAlignment="1">
      <alignment horizontal="center"/>
    </xf>
    <xf numFmtId="0" fontId="8" fillId="0" borderId="0" xfId="0" applyFont="1" applyFill="1"/>
    <xf numFmtId="2" fontId="2" fillId="2" borderId="0" xfId="0" applyNumberFormat="1" applyFont="1" applyFill="1" applyAlignment="1">
      <alignment horizontal="center" wrapText="1"/>
    </xf>
    <xf numFmtId="9" fontId="0" fillId="0" borderId="0" xfId="2" applyNumberFormat="1" applyFont="1" applyAlignment="1">
      <alignment horizontal="center"/>
    </xf>
    <xf numFmtId="9" fontId="2" fillId="2" borderId="0" xfId="2" applyNumberFormat="1" applyFont="1" applyFill="1" applyAlignment="1">
      <alignment horizontal="center" wrapText="1"/>
    </xf>
    <xf numFmtId="0" fontId="8" fillId="0" borderId="0" xfId="0" applyFont="1" applyFill="1" applyAlignment="1">
      <alignment horizontal="center"/>
    </xf>
    <xf numFmtId="1" fontId="8" fillId="0" borderId="0" xfId="0" applyNumberFormat="1" applyFont="1" applyFill="1" applyAlignment="1">
      <alignment horizontal="center"/>
    </xf>
    <xf numFmtId="9" fontId="8" fillId="0" borderId="0" xfId="2" applyNumberFormat="1" applyFont="1" applyFill="1" applyAlignment="1">
      <alignment horizontal="center"/>
    </xf>
    <xf numFmtId="9" fontId="8" fillId="0" borderId="0" xfId="2" applyFont="1" applyFill="1" applyAlignment="1">
      <alignment horizontal="center"/>
    </xf>
    <xf numFmtId="0" fontId="0" fillId="0" borderId="0" xfId="0" applyFill="1"/>
    <xf numFmtId="9" fontId="8" fillId="3" borderId="0" xfId="0" applyNumberFormat="1" applyFont="1" applyFill="1" applyAlignment="1">
      <alignment horizontal="center"/>
    </xf>
    <xf numFmtId="0" fontId="8" fillId="6" borderId="0" xfId="0" applyFont="1" applyFill="1" applyAlignment="1">
      <alignment horizontal="center"/>
    </xf>
    <xf numFmtId="9" fontId="8" fillId="6" borderId="0" xfId="2" applyNumberFormat="1" applyFont="1" applyFill="1" applyAlignment="1">
      <alignment horizontal="center"/>
    </xf>
    <xf numFmtId="9" fontId="8" fillId="6" borderId="0" xfId="2" applyFont="1" applyFill="1" applyAlignment="1">
      <alignment horizontal="center"/>
    </xf>
    <xf numFmtId="0" fontId="8" fillId="3" borderId="0" xfId="0" applyFont="1" applyFill="1" applyBorder="1" applyAlignment="1">
      <alignment horizontal="center"/>
    </xf>
    <xf numFmtId="0" fontId="12" fillId="6" borderId="0" xfId="0" applyFont="1" applyFill="1"/>
    <xf numFmtId="0" fontId="8" fillId="0" borderId="2" xfId="0" applyFont="1" applyFill="1" applyBorder="1"/>
    <xf numFmtId="0" fontId="8" fillId="0" borderId="2" xfId="0" applyFont="1" applyFill="1" applyBorder="1" applyAlignment="1">
      <alignment horizontal="center"/>
    </xf>
    <xf numFmtId="9" fontId="8" fillId="0" borderId="2" xfId="2" applyFont="1" applyFill="1" applyBorder="1" applyAlignment="1">
      <alignment horizontal="center"/>
    </xf>
    <xf numFmtId="9" fontId="8" fillId="4" borderId="0" xfId="2" applyNumberFormat="1" applyFont="1" applyFill="1" applyAlignment="1">
      <alignment horizontal="center"/>
    </xf>
    <xf numFmtId="9" fontId="8" fillId="5" borderId="0" xfId="2" applyNumberFormat="1" applyFont="1" applyFill="1" applyAlignment="1">
      <alignment horizontal="center"/>
    </xf>
    <xf numFmtId="166" fontId="0" fillId="0" borderId="0" xfId="0" applyNumberFormat="1" applyAlignment="1">
      <alignment horizontal="center"/>
    </xf>
    <xf numFmtId="0" fontId="0" fillId="0" borderId="2" xfId="0" applyBorder="1"/>
    <xf numFmtId="0" fontId="0" fillId="0" borderId="2" xfId="0" applyBorder="1" applyAlignment="1">
      <alignment horizontal="center"/>
    </xf>
    <xf numFmtId="9" fontId="0" fillId="3" borderId="0" xfId="2" applyFont="1" applyFill="1" applyAlignment="1">
      <alignment horizontal="center"/>
    </xf>
    <xf numFmtId="9" fontId="0" fillId="0" borderId="2" xfId="2" applyFont="1" applyBorder="1" applyAlignment="1">
      <alignment horizontal="center"/>
    </xf>
    <xf numFmtId="0" fontId="8" fillId="0" borderId="0" xfId="0" applyFont="1" applyFill="1" applyBorder="1"/>
    <xf numFmtId="0" fontId="8" fillId="0" borderId="0" xfId="0" applyFont="1" applyFill="1" applyBorder="1" applyAlignment="1">
      <alignment horizontal="center"/>
    </xf>
    <xf numFmtId="2" fontId="8" fillId="0" borderId="0" xfId="0" applyNumberFormat="1" applyFont="1" applyFill="1" applyBorder="1" applyAlignment="1">
      <alignment horizontal="center"/>
    </xf>
    <xf numFmtId="9" fontId="8" fillId="0" borderId="0" xfId="2" applyNumberFormat="1" applyFont="1" applyFill="1" applyBorder="1" applyAlignment="1">
      <alignment horizontal="center"/>
    </xf>
    <xf numFmtId="9" fontId="8" fillId="0" borderId="0" xfId="2" applyFont="1" applyFill="1" applyBorder="1" applyAlignment="1">
      <alignment horizontal="center"/>
    </xf>
    <xf numFmtId="9" fontId="8" fillId="3" borderId="0" xfId="2" applyFont="1" applyFill="1" applyAlignment="1">
      <alignment horizontal="right"/>
    </xf>
    <xf numFmtId="10" fontId="0" fillId="0" borderId="0" xfId="0" applyNumberFormat="1"/>
    <xf numFmtId="0" fontId="8" fillId="3" borderId="0" xfId="0" applyFont="1" applyFill="1" applyBorder="1"/>
    <xf numFmtId="9" fontId="8" fillId="3" borderId="0" xfId="2" applyFont="1" applyFill="1" applyBorder="1" applyAlignment="1">
      <alignment horizontal="center"/>
    </xf>
    <xf numFmtId="0" fontId="0" fillId="3" borderId="0" xfId="0" applyFill="1" applyBorder="1"/>
    <xf numFmtId="165" fontId="0" fillId="0" borderId="0" xfId="2" applyNumberFormat="1" applyFont="1"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9" fontId="0" fillId="0" borderId="0" xfId="2" applyFont="1"/>
    <xf numFmtId="9" fontId="0" fillId="0" borderId="0" xfId="2" applyFont="1" applyAlignment="1">
      <alignment horizontal="center" wrapText="1"/>
    </xf>
    <xf numFmtId="9" fontId="2" fillId="2" borderId="0" xfId="2" applyFont="1" applyFill="1" applyAlignment="1">
      <alignment horizontal="center" wrapText="1"/>
    </xf>
    <xf numFmtId="0" fontId="2" fillId="2" borderId="0" xfId="0" applyFont="1" applyFill="1" applyAlignment="1">
      <alignment horizontal="left"/>
    </xf>
    <xf numFmtId="165" fontId="0" fillId="0" borderId="0" xfId="2" applyNumberFormat="1" applyFont="1" applyFill="1"/>
    <xf numFmtId="0" fontId="9" fillId="0" borderId="0" xfId="0" applyFont="1"/>
    <xf numFmtId="0" fontId="9" fillId="0" borderId="0" xfId="0" applyFont="1" applyFill="1"/>
    <xf numFmtId="0" fontId="0" fillId="0" borderId="0" xfId="0" applyFill="1" applyAlignment="1">
      <alignment horizontal="center"/>
    </xf>
    <xf numFmtId="9" fontId="0" fillId="0" borderId="0" xfId="2" applyFont="1" applyFill="1" applyAlignment="1">
      <alignment horizontal="center"/>
    </xf>
    <xf numFmtId="0" fontId="0" fillId="3" borderId="0" xfId="0" applyFill="1"/>
    <xf numFmtId="164" fontId="0" fillId="3" borderId="0" xfId="0" applyNumberFormat="1" applyFill="1" applyAlignment="1">
      <alignment horizontal="center"/>
    </xf>
    <xf numFmtId="166" fontId="0" fillId="3" borderId="0" xfId="0" applyNumberFormat="1" applyFill="1" applyAlignment="1">
      <alignment horizontal="center"/>
    </xf>
    <xf numFmtId="0" fontId="0" fillId="0" borderId="0" xfId="0" applyBorder="1"/>
    <xf numFmtId="166" fontId="0" fillId="0" borderId="0" xfId="0" applyNumberFormat="1" applyBorder="1" applyAlignment="1">
      <alignment horizontal="center"/>
    </xf>
    <xf numFmtId="9" fontId="8" fillId="0" borderId="0" xfId="2" applyFont="1" applyBorder="1" applyAlignment="1">
      <alignment horizontal="center"/>
    </xf>
    <xf numFmtId="0" fontId="2" fillId="0" borderId="0" xfId="0" applyFont="1" applyFill="1"/>
    <xf numFmtId="166" fontId="0" fillId="0" borderId="0" xfId="0" applyNumberFormat="1" applyFill="1" applyAlignment="1">
      <alignment horizontal="center"/>
    </xf>
    <xf numFmtId="166" fontId="0" fillId="3" borderId="0" xfId="0" applyNumberFormat="1" applyFill="1" applyBorder="1" applyAlignment="1">
      <alignment horizontal="center"/>
    </xf>
    <xf numFmtId="9" fontId="0" fillId="0" borderId="0" xfId="0" applyNumberFormat="1" applyFill="1" applyAlignment="1">
      <alignment horizontal="center"/>
    </xf>
    <xf numFmtId="0" fontId="8" fillId="3" borderId="2" xfId="0" applyFont="1" applyFill="1" applyBorder="1"/>
    <xf numFmtId="9" fontId="8" fillId="3" borderId="2" xfId="2" applyFont="1" applyFill="1" applyBorder="1" applyAlignment="1">
      <alignment horizontal="center"/>
    </xf>
    <xf numFmtId="166" fontId="0" fillId="0" borderId="2" xfId="0" applyNumberFormat="1" applyFill="1" applyBorder="1" applyAlignment="1">
      <alignment horizontal="center"/>
    </xf>
    <xf numFmtId="14" fontId="0" fillId="0" borderId="0" xfId="0" applyNumberFormat="1" applyAlignment="1">
      <alignment horizontal="left" indent="1"/>
    </xf>
    <xf numFmtId="0" fontId="9" fillId="0" borderId="0" xfId="0" applyFont="1" applyAlignment="1">
      <alignment horizontal="right"/>
    </xf>
    <xf numFmtId="0" fontId="0" fillId="0" borderId="0" xfId="0" applyAlignment="1">
      <alignment vertical="center"/>
    </xf>
    <xf numFmtId="0" fontId="0" fillId="0" borderId="0" xfId="0" applyAlignment="1">
      <alignment horizontal="left" indent="1"/>
    </xf>
    <xf numFmtId="0" fontId="15" fillId="0" borderId="4" xfId="0" applyFont="1" applyBorder="1" applyAlignment="1" applyProtection="1">
      <alignment horizontal="centerContinuous"/>
    </xf>
    <xf numFmtId="0" fontId="0" fillId="0" borderId="5" xfId="0" applyBorder="1" applyAlignment="1" applyProtection="1">
      <alignment horizontal="centerContinuous"/>
    </xf>
    <xf numFmtId="0" fontId="0" fillId="0" borderId="0" xfId="0" applyProtection="1"/>
    <xf numFmtId="0" fontId="16" fillId="0" borderId="0" xfId="0" applyFont="1" applyProtection="1"/>
    <xf numFmtId="0" fontId="15" fillId="0" borderId="0" xfId="0" applyFont="1" applyProtection="1"/>
    <xf numFmtId="0" fontId="0" fillId="0" borderId="0" xfId="0" quotePrefix="1" applyFont="1" applyAlignment="1" applyProtection="1">
      <alignment horizontal="center"/>
    </xf>
    <xf numFmtId="0" fontId="0" fillId="0" borderId="0" xfId="0" applyAlignment="1" applyProtection="1">
      <alignment horizontal="center"/>
    </xf>
    <xf numFmtId="9" fontId="0" fillId="0" borderId="0" xfId="2" applyFont="1" applyAlignment="1" applyProtection="1">
      <alignment horizontal="center"/>
    </xf>
    <xf numFmtId="9" fontId="11" fillId="0" borderId="0" xfId="2" applyFont="1" applyAlignment="1" applyProtection="1">
      <alignment horizontal="center"/>
    </xf>
    <xf numFmtId="0" fontId="11" fillId="0" borderId="0" xfId="0" applyFont="1" applyProtection="1"/>
    <xf numFmtId="9" fontId="0" fillId="0" borderId="0" xfId="0" applyNumberFormat="1" applyAlignment="1" applyProtection="1">
      <alignment horizontal="center"/>
    </xf>
    <xf numFmtId="168" fontId="0" fillId="0" borderId="0" xfId="1" applyNumberFormat="1" applyFont="1" applyProtection="1"/>
    <xf numFmtId="0" fontId="0" fillId="0" borderId="0" xfId="0" quotePrefix="1" applyProtection="1"/>
    <xf numFmtId="9" fontId="8" fillId="3" borderId="0" xfId="2" applyNumberFormat="1" applyFont="1" applyFill="1" applyAlignment="1">
      <alignment horizontal="center" vertical="center"/>
    </xf>
    <xf numFmtId="9" fontId="0" fillId="3" borderId="0" xfId="2" applyFont="1" applyFill="1" applyAlignment="1">
      <alignment horizontal="center" vertical="center"/>
    </xf>
    <xf numFmtId="0" fontId="0" fillId="3" borderId="0" xfId="0" applyFill="1" applyAlignment="1">
      <alignment vertical="center"/>
    </xf>
    <xf numFmtId="0" fontId="0" fillId="3" borderId="0" xfId="0" applyFill="1" applyAlignment="1">
      <alignment wrapText="1"/>
    </xf>
    <xf numFmtId="165" fontId="0" fillId="0" borderId="0" xfId="2" applyNumberFormat="1" applyFont="1" applyAlignment="1">
      <alignment horizontal="center" vertical="center"/>
    </xf>
    <xf numFmtId="0" fontId="8" fillId="0" borderId="0" xfId="0" applyFont="1" applyFill="1" applyAlignment="1" applyProtection="1">
      <alignment horizontal="left" indent="1"/>
      <protection locked="0"/>
    </xf>
    <xf numFmtId="0" fontId="8" fillId="0" borderId="0" xfId="0" applyFont="1" applyProtection="1">
      <protection locked="0"/>
    </xf>
    <xf numFmtId="0" fontId="8" fillId="3" borderId="0" xfId="0" applyFont="1" applyFill="1" applyProtection="1">
      <protection locked="0"/>
    </xf>
    <xf numFmtId="0" fontId="8" fillId="0" borderId="0" xfId="0" applyFont="1" applyFill="1" applyProtection="1">
      <protection locked="0"/>
    </xf>
    <xf numFmtId="1" fontId="8" fillId="0" borderId="0" xfId="0" applyNumberFormat="1" applyFont="1" applyAlignment="1" applyProtection="1">
      <alignment horizontal="center"/>
      <protection locked="0"/>
    </xf>
    <xf numFmtId="9" fontId="8" fillId="0" borderId="0" xfId="2" applyNumberFormat="1" applyFont="1" applyAlignment="1" applyProtection="1">
      <alignment horizontal="center"/>
      <protection locked="0"/>
    </xf>
    <xf numFmtId="1" fontId="8" fillId="0" borderId="0" xfId="0" applyNumberFormat="1" applyFont="1" applyFill="1" applyAlignment="1" applyProtection="1">
      <alignment horizontal="center"/>
      <protection locked="0"/>
    </xf>
    <xf numFmtId="9" fontId="8" fillId="0" borderId="0" xfId="2" applyNumberFormat="1" applyFont="1" applyFill="1" applyAlignment="1" applyProtection="1">
      <alignment horizontal="center"/>
      <protection locked="0"/>
    </xf>
    <xf numFmtId="1" fontId="8" fillId="3" borderId="0" xfId="0" applyNumberFormat="1" applyFont="1" applyFill="1" applyAlignment="1" applyProtection="1">
      <alignment horizontal="center"/>
      <protection locked="0"/>
    </xf>
    <xf numFmtId="9" fontId="8" fillId="3" borderId="0" xfId="2" applyNumberFormat="1" applyFont="1" applyFill="1" applyAlignment="1" applyProtection="1">
      <alignment horizontal="center"/>
      <protection locked="0"/>
    </xf>
    <xf numFmtId="9" fontId="8" fillId="3" borderId="0" xfId="2" applyFont="1" applyFill="1" applyAlignment="1" applyProtection="1">
      <alignment horizontal="center"/>
      <protection locked="0"/>
    </xf>
    <xf numFmtId="2" fontId="8" fillId="0" borderId="0" xfId="0" applyNumberFormat="1" applyFont="1" applyFill="1" applyAlignment="1" applyProtection="1">
      <alignment horizontal="center"/>
      <protection locked="0"/>
    </xf>
    <xf numFmtId="2" fontId="8" fillId="3" borderId="0" xfId="0" applyNumberFormat="1" applyFont="1" applyFill="1" applyAlignment="1" applyProtection="1">
      <alignment horizontal="center"/>
      <protection locked="0"/>
    </xf>
    <xf numFmtId="2" fontId="8" fillId="0" borderId="0" xfId="0" applyNumberFormat="1" applyFont="1" applyFill="1" applyBorder="1" applyAlignment="1" applyProtection="1">
      <alignment horizontal="center"/>
      <protection locked="0"/>
    </xf>
    <xf numFmtId="2" fontId="8" fillId="3" borderId="0" xfId="0" applyNumberFormat="1" applyFont="1" applyFill="1" applyBorder="1" applyAlignment="1" applyProtection="1">
      <alignment horizontal="center"/>
      <protection locked="0"/>
    </xf>
    <xf numFmtId="2" fontId="8" fillId="0" borderId="2" xfId="0" applyNumberFormat="1" applyFont="1" applyFill="1" applyBorder="1" applyAlignment="1" applyProtection="1">
      <alignment horizontal="center"/>
      <protection locked="0"/>
    </xf>
    <xf numFmtId="9" fontId="8" fillId="0" borderId="0" xfId="2" applyNumberFormat="1" applyFont="1" applyFill="1" applyBorder="1" applyAlignment="1" applyProtection="1">
      <alignment horizontal="center"/>
      <protection locked="0"/>
    </xf>
    <xf numFmtId="9" fontId="0" fillId="3" borderId="0" xfId="0" applyNumberFormat="1" applyFill="1" applyBorder="1" applyAlignment="1" applyProtection="1">
      <alignment horizontal="center"/>
      <protection locked="0"/>
    </xf>
    <xf numFmtId="9" fontId="0" fillId="0" borderId="0" xfId="0" applyNumberFormat="1" applyFill="1" applyBorder="1" applyAlignment="1" applyProtection="1">
      <alignment horizontal="center"/>
      <protection locked="0"/>
    </xf>
    <xf numFmtId="9" fontId="8" fillId="0" borderId="2" xfId="2" applyNumberFormat="1" applyFont="1" applyFill="1" applyBorder="1" applyAlignment="1" applyProtection="1">
      <alignment horizontal="center"/>
      <protection locked="0"/>
    </xf>
    <xf numFmtId="0" fontId="0" fillId="0" borderId="0" xfId="0" applyProtection="1">
      <protection locked="0"/>
    </xf>
    <xf numFmtId="9" fontId="8" fillId="0" borderId="0" xfId="2" applyFont="1" applyFill="1" applyAlignment="1" applyProtection="1">
      <alignment horizontal="center"/>
      <protection locked="0"/>
    </xf>
    <xf numFmtId="0" fontId="0" fillId="0" borderId="0" xfId="0" applyFill="1" applyProtection="1">
      <protection locked="0"/>
    </xf>
    <xf numFmtId="0" fontId="0" fillId="0" borderId="0" xfId="0" applyFill="1" applyBorder="1" applyProtection="1">
      <protection locked="0"/>
    </xf>
    <xf numFmtId="0" fontId="0" fillId="3" borderId="0" xfId="0" applyFill="1" applyBorder="1" applyProtection="1">
      <protection locked="0"/>
    </xf>
    <xf numFmtId="0" fontId="0" fillId="0" borderId="2" xfId="0" applyFill="1" applyBorder="1" applyProtection="1">
      <protection locked="0"/>
    </xf>
    <xf numFmtId="0" fontId="0" fillId="0" borderId="2" xfId="0" applyBorder="1" applyProtection="1">
      <protection locked="0"/>
    </xf>
    <xf numFmtId="0" fontId="0" fillId="3" borderId="0" xfId="0" applyFill="1" applyAlignment="1" applyProtection="1">
      <alignment vertical="center"/>
      <protection locked="0"/>
    </xf>
    <xf numFmtId="0" fontId="0" fillId="3" borderId="0" xfId="0" applyFill="1" applyProtection="1">
      <protection locked="0"/>
    </xf>
    <xf numFmtId="0" fontId="0" fillId="0" borderId="0" xfId="0" applyBorder="1" applyProtection="1">
      <protection locked="0"/>
    </xf>
    <xf numFmtId="0" fontId="0" fillId="0" borderId="0" xfId="0" applyFill="1" applyAlignment="1" applyProtection="1">
      <alignment horizontal="center"/>
      <protection locked="0"/>
    </xf>
    <xf numFmtId="0" fontId="0" fillId="3" borderId="2" xfId="0" applyFill="1" applyBorder="1" applyProtection="1">
      <protection locked="0"/>
    </xf>
    <xf numFmtId="0" fontId="8" fillId="6" borderId="0" xfId="0" applyFont="1" applyFill="1" applyProtection="1">
      <protection locked="0"/>
    </xf>
    <xf numFmtId="0" fontId="0" fillId="0" borderId="0" xfId="0" applyFont="1" applyProtection="1">
      <protection locked="0"/>
    </xf>
    <xf numFmtId="166" fontId="0" fillId="0" borderId="0" xfId="0" applyNumberFormat="1" applyAlignment="1" applyProtection="1">
      <alignment horizontal="center"/>
      <protection locked="0"/>
    </xf>
    <xf numFmtId="0" fontId="0" fillId="3" borderId="0" xfId="0" applyFill="1" applyAlignment="1" applyProtection="1">
      <alignment horizontal="center"/>
      <protection locked="0"/>
    </xf>
    <xf numFmtId="0" fontId="0" fillId="0" borderId="0" xfId="0" applyAlignment="1" applyProtection="1">
      <alignment horizontal="center"/>
      <protection locked="0"/>
    </xf>
    <xf numFmtId="0" fontId="0" fillId="0" borderId="2" xfId="0" applyBorder="1" applyAlignment="1" applyProtection="1">
      <alignment horizontal="center"/>
      <protection locked="0"/>
    </xf>
    <xf numFmtId="9" fontId="0" fillId="0" borderId="0" xfId="2" applyNumberFormat="1" applyFont="1" applyAlignment="1" applyProtection="1">
      <alignment horizontal="center"/>
      <protection locked="0"/>
    </xf>
    <xf numFmtId="0" fontId="0" fillId="3" borderId="0" xfId="0" applyFill="1" applyAlignment="1" applyProtection="1">
      <alignment horizontal="center" vertical="center"/>
      <protection locked="0"/>
    </xf>
    <xf numFmtId="9" fontId="8" fillId="3" borderId="0" xfId="2" applyNumberFormat="1" applyFont="1" applyFill="1" applyAlignment="1" applyProtection="1">
      <alignment horizontal="center" vertical="center"/>
      <protection locked="0"/>
    </xf>
    <xf numFmtId="0" fontId="8" fillId="3" borderId="0" xfId="2" applyNumberFormat="1" applyFont="1" applyFill="1" applyAlignment="1" applyProtection="1">
      <alignment horizontal="center"/>
      <protection locked="0"/>
    </xf>
    <xf numFmtId="0" fontId="8" fillId="0" borderId="0" xfId="2" applyNumberFormat="1" applyFont="1" applyFill="1" applyAlignment="1" applyProtection="1">
      <alignment horizontal="center"/>
      <protection locked="0"/>
    </xf>
    <xf numFmtId="164" fontId="0" fillId="0" borderId="0" xfId="0" applyNumberFormat="1" applyAlignment="1" applyProtection="1">
      <alignment horizontal="center"/>
      <protection locked="0"/>
    </xf>
    <xf numFmtId="167" fontId="8" fillId="0" borderId="0" xfId="2" applyNumberFormat="1" applyFont="1" applyFill="1" applyAlignment="1" applyProtection="1">
      <alignment horizontal="center"/>
      <protection locked="0"/>
    </xf>
    <xf numFmtId="167" fontId="8" fillId="3" borderId="0" xfId="2" applyNumberFormat="1" applyFont="1" applyFill="1" applyAlignment="1" applyProtection="1">
      <alignment horizontal="center"/>
      <protection locked="0"/>
    </xf>
    <xf numFmtId="9" fontId="8" fillId="3" borderId="0" xfId="2" applyNumberFormat="1" applyFont="1" applyFill="1" applyBorder="1" applyAlignment="1" applyProtection="1">
      <alignment horizontal="center"/>
      <protection locked="0"/>
    </xf>
    <xf numFmtId="0" fontId="0" fillId="0" borderId="0" xfId="0" applyBorder="1" applyAlignment="1" applyProtection="1">
      <alignment horizontal="center"/>
      <protection locked="0"/>
    </xf>
    <xf numFmtId="9" fontId="8" fillId="0" borderId="2" xfId="2" applyNumberFormat="1" applyFont="1" applyBorder="1" applyAlignment="1" applyProtection="1">
      <alignment horizontal="center"/>
      <protection locked="0"/>
    </xf>
    <xf numFmtId="9" fontId="8" fillId="0" borderId="0" xfId="2" applyFont="1" applyFill="1" applyBorder="1" applyAlignment="1" applyProtection="1">
      <alignment horizontal="center"/>
      <protection locked="0"/>
    </xf>
    <xf numFmtId="9" fontId="8" fillId="0" borderId="2" xfId="2" applyFont="1" applyFill="1" applyBorder="1" applyAlignment="1" applyProtection="1">
      <alignment horizontal="center"/>
      <protection locked="0"/>
    </xf>
    <xf numFmtId="9" fontId="0" fillId="0" borderId="0" xfId="0" applyNumberFormat="1" applyFill="1" applyAlignment="1" applyProtection="1">
      <alignment horizontal="center"/>
      <protection locked="0"/>
    </xf>
    <xf numFmtId="0" fontId="8" fillId="3" borderId="0" xfId="0" applyFont="1" applyFill="1" applyBorder="1" applyAlignment="1" applyProtection="1">
      <alignment horizontal="center"/>
      <protection locked="0"/>
    </xf>
    <xf numFmtId="0" fontId="8" fillId="3" borderId="2" xfId="0" applyFont="1" applyFill="1" applyBorder="1" applyAlignment="1" applyProtection="1">
      <alignment horizontal="center"/>
      <protection locked="0"/>
    </xf>
    <xf numFmtId="2" fontId="8" fillId="3" borderId="2" xfId="0" applyNumberFormat="1" applyFont="1" applyFill="1" applyBorder="1" applyAlignment="1" applyProtection="1">
      <alignment horizontal="center"/>
      <protection locked="0"/>
    </xf>
    <xf numFmtId="9" fontId="8" fillId="3" borderId="2" xfId="2" applyNumberFormat="1" applyFont="1" applyFill="1" applyBorder="1" applyAlignment="1" applyProtection="1">
      <alignment horizontal="center"/>
      <protection locked="0"/>
    </xf>
    <xf numFmtId="2" fontId="0" fillId="0" borderId="0" xfId="0" applyNumberFormat="1" applyFill="1" applyAlignment="1" applyProtection="1">
      <alignment horizontal="center"/>
      <protection locked="0"/>
    </xf>
    <xf numFmtId="9" fontId="8" fillId="3" borderId="0" xfId="2" applyFont="1" applyFill="1" applyBorder="1" applyAlignment="1" applyProtection="1">
      <alignment horizontal="center"/>
      <protection locked="0"/>
    </xf>
    <xf numFmtId="9" fontId="8" fillId="3" borderId="2" xfId="2" applyFont="1" applyFill="1" applyBorder="1" applyAlignment="1" applyProtection="1">
      <alignment horizontal="center"/>
      <protection locked="0"/>
    </xf>
    <xf numFmtId="0" fontId="18" fillId="0" borderId="0" xfId="0" applyFont="1" applyAlignment="1">
      <alignment horizontal="left"/>
    </xf>
    <xf numFmtId="0" fontId="9" fillId="0" borderId="0" xfId="0" applyFont="1" applyBorder="1" applyAlignment="1">
      <alignment horizontal="right"/>
    </xf>
    <xf numFmtId="0" fontId="8" fillId="0" borderId="0" xfId="0" applyFont="1" applyFill="1" applyBorder="1" applyAlignment="1" applyProtection="1">
      <alignment horizontal="left" indent="1"/>
      <protection locked="0"/>
    </xf>
    <xf numFmtId="0" fontId="9" fillId="0" borderId="1" xfId="0" applyFont="1" applyBorder="1" applyAlignment="1">
      <alignment horizontal="right"/>
    </xf>
    <xf numFmtId="0" fontId="8" fillId="0" borderId="1" xfId="0" applyFont="1" applyFill="1" applyBorder="1" applyAlignment="1" applyProtection="1">
      <alignment horizontal="left" indent="1"/>
      <protection locked="0"/>
    </xf>
    <xf numFmtId="0" fontId="4" fillId="0" borderId="0" xfId="0" applyFont="1" applyAlignment="1" applyProtection="1">
      <alignment wrapText="1"/>
    </xf>
    <xf numFmtId="0" fontId="3" fillId="0" borderId="0" xfId="0" applyFont="1" applyAlignment="1" applyProtection="1">
      <alignment wrapText="1"/>
    </xf>
    <xf numFmtId="0" fontId="5" fillId="0" borderId="0" xfId="0" applyFont="1" applyProtection="1"/>
    <xf numFmtId="0" fontId="6" fillId="0" borderId="0" xfId="0" applyFont="1" applyProtection="1"/>
    <xf numFmtId="0" fontId="6" fillId="0" borderId="0" xfId="0" applyFont="1" applyAlignment="1" applyProtection="1">
      <alignment horizontal="center"/>
    </xf>
    <xf numFmtId="164" fontId="0" fillId="0" borderId="0" xfId="2" applyNumberFormat="1" applyFont="1" applyProtection="1"/>
    <xf numFmtId="0" fontId="0" fillId="0" borderId="0" xfId="0" applyBorder="1" applyAlignment="1" applyProtection="1">
      <alignment horizontal="left" vertical="center"/>
    </xf>
    <xf numFmtId="9" fontId="0" fillId="0" borderId="0" xfId="0" applyNumberFormat="1" applyProtection="1"/>
    <xf numFmtId="0" fontId="0" fillId="0" borderId="3" xfId="0" applyBorder="1" applyAlignment="1" applyProtection="1">
      <alignment horizontal="left" vertical="center"/>
    </xf>
    <xf numFmtId="0" fontId="0" fillId="0" borderId="0" xfId="0" applyAlignment="1" applyProtection="1">
      <alignment horizontal="left"/>
    </xf>
    <xf numFmtId="0" fontId="20" fillId="0" borderId="0" xfId="0" applyFont="1" applyFill="1"/>
    <xf numFmtId="0" fontId="20" fillId="0" borderId="0" xfId="0" applyFont="1" applyFill="1" applyAlignment="1">
      <alignment vertical="center" wrapText="1"/>
    </xf>
    <xf numFmtId="9" fontId="20" fillId="0" borderId="0" xfId="2" applyNumberFormat="1" applyFont="1" applyFill="1" applyAlignment="1">
      <alignment horizontal="center" vertical="center"/>
    </xf>
    <xf numFmtId="9" fontId="20" fillId="0" borderId="0" xfId="2" applyFont="1" applyFill="1" applyAlignment="1" applyProtection="1">
      <alignment horizontal="center" vertical="center"/>
      <protection locked="0"/>
    </xf>
    <xf numFmtId="9" fontId="20" fillId="0" borderId="0" xfId="2" applyNumberFormat="1" applyFont="1" applyFill="1" applyAlignment="1" applyProtection="1">
      <alignment horizontal="center" vertical="center"/>
      <protection locked="0"/>
    </xf>
    <xf numFmtId="9" fontId="20" fillId="0" borderId="0" xfId="2" applyFont="1" applyFill="1" applyAlignment="1">
      <alignment horizontal="center" vertical="center"/>
    </xf>
    <xf numFmtId="0" fontId="20" fillId="0" borderId="0" xfId="0" applyFont="1" applyFill="1" applyAlignment="1" applyProtection="1">
      <alignment vertical="center"/>
      <protection locked="0"/>
    </xf>
    <xf numFmtId="0" fontId="20" fillId="0" borderId="0" xfId="0" applyFont="1" applyFill="1" applyAlignment="1">
      <alignment vertical="center"/>
    </xf>
    <xf numFmtId="165" fontId="20" fillId="0" borderId="0" xfId="2" applyNumberFormat="1" applyFont="1" applyFill="1" applyAlignment="1">
      <alignment horizontal="center" vertical="center"/>
    </xf>
    <xf numFmtId="0" fontId="20" fillId="0" borderId="0" xfId="0" applyFont="1"/>
    <xf numFmtId="165" fontId="20" fillId="0" borderId="0" xfId="2" applyNumberFormat="1" applyFont="1" applyFill="1" applyAlignment="1">
      <alignment horizontal="center"/>
    </xf>
    <xf numFmtId="0" fontId="20" fillId="0" borderId="0" xfId="0" applyFont="1" applyFill="1" applyAlignment="1">
      <alignment horizontal="center"/>
    </xf>
    <xf numFmtId="0" fontId="20" fillId="0" borderId="0" xfId="0" applyFont="1" applyFill="1" applyAlignment="1" applyProtection="1">
      <alignment horizontal="center"/>
      <protection locked="0"/>
    </xf>
    <xf numFmtId="9" fontId="20" fillId="0" borderId="0" xfId="2" applyFont="1" applyFill="1" applyAlignment="1">
      <alignment horizontal="center"/>
    </xf>
    <xf numFmtId="0" fontId="20" fillId="0" borderId="0" xfId="0" applyFont="1" applyFill="1" applyProtection="1">
      <protection locked="0"/>
    </xf>
    <xf numFmtId="0" fontId="22" fillId="0" borderId="0" xfId="0" applyFont="1" applyFill="1"/>
    <xf numFmtId="0" fontId="20" fillId="7" borderId="0" xfId="0" applyFont="1" applyFill="1" applyAlignment="1">
      <alignment vertical="center" wrapText="1"/>
    </xf>
    <xf numFmtId="9" fontId="20" fillId="7" borderId="0" xfId="2" applyNumberFormat="1" applyFont="1" applyFill="1" applyAlignment="1">
      <alignment horizontal="center" vertical="center"/>
    </xf>
    <xf numFmtId="0" fontId="20" fillId="7" borderId="0" xfId="0" applyFont="1" applyFill="1" applyAlignment="1" applyProtection="1">
      <alignment horizontal="center" vertical="center"/>
      <protection locked="0"/>
    </xf>
    <xf numFmtId="9" fontId="20" fillId="7" borderId="0" xfId="2" applyNumberFormat="1" applyFont="1" applyFill="1" applyAlignment="1" applyProtection="1">
      <alignment horizontal="center" vertical="center"/>
      <protection locked="0"/>
    </xf>
    <xf numFmtId="9" fontId="20" fillId="7" borderId="0" xfId="2" applyFont="1" applyFill="1" applyAlignment="1">
      <alignment horizontal="center" vertical="center"/>
    </xf>
    <xf numFmtId="0" fontId="20" fillId="7" borderId="0" xfId="0" applyFont="1" applyFill="1" applyAlignment="1" applyProtection="1">
      <alignment vertical="center"/>
      <protection locked="0"/>
    </xf>
    <xf numFmtId="0" fontId="20" fillId="7" borderId="0" xfId="0" applyFont="1" applyFill="1"/>
    <xf numFmtId="0" fontId="20" fillId="7" borderId="0" xfId="0" applyFont="1" applyFill="1" applyAlignment="1">
      <alignment horizontal="center"/>
    </xf>
    <xf numFmtId="0" fontId="20" fillId="7" borderId="0" xfId="0" applyFont="1" applyFill="1" applyAlignment="1" applyProtection="1">
      <alignment horizontal="center"/>
      <protection locked="0"/>
    </xf>
    <xf numFmtId="9" fontId="20" fillId="7" borderId="0" xfId="2" applyFont="1" applyFill="1" applyAlignment="1">
      <alignment horizontal="center"/>
    </xf>
    <xf numFmtId="0" fontId="20" fillId="7" borderId="0" xfId="0" applyFont="1" applyFill="1" applyProtection="1">
      <protection locked="0"/>
    </xf>
    <xf numFmtId="164" fontId="0" fillId="0" borderId="0" xfId="0" applyNumberFormat="1" applyFill="1" applyAlignment="1">
      <alignment horizontal="center"/>
    </xf>
  </cellXfs>
  <cellStyles count="3">
    <cellStyle name="Comma" xfId="1" builtinId="3"/>
    <cellStyle name="Normal" xfId="0" builtinId="0"/>
    <cellStyle name="Percent" xfId="2" builtinId="5"/>
  </cellStyles>
  <dxfs count="325">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
      <font>
        <b/>
        <i/>
        <color indexed="10"/>
      </font>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rrettmosiman/Desktop/download%20files/COMcheckSampleTable_08M_MultipleHVAC_dem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vingsSummary_SampleMultHVAC"/>
      <sheetName val="MultipleHVAC_Entry"/>
      <sheetName val="SavingsSummary_DefaultInputs"/>
      <sheetName val="Lists_LookupTables"/>
      <sheetName val="BldgTypeLookup"/>
    </sheetNames>
    <sheetDataSet>
      <sheetData sheetId="0">
        <row r="4">
          <cell r="B4" t="str">
            <v>Office_Building</v>
          </cell>
        </row>
      </sheetData>
      <sheetData sheetId="1" refreshError="1"/>
      <sheetData sheetId="2" refreshError="1"/>
      <sheetData sheetId="3" refreshError="1"/>
      <sheetData sheetId="4">
        <row r="4">
          <cell r="A4" t="str">
            <v>Education</v>
          </cell>
          <cell r="B4">
            <v>83.1</v>
          </cell>
          <cell r="C4">
            <v>39.4</v>
          </cell>
          <cell r="D4">
            <v>8</v>
          </cell>
          <cell r="F4">
            <v>5.8</v>
          </cell>
          <cell r="G4">
            <v>11.5</v>
          </cell>
        </row>
        <row r="5">
          <cell r="A5" t="str">
            <v>Food_Sales</v>
          </cell>
          <cell r="B5">
            <v>199.7</v>
          </cell>
          <cell r="C5">
            <v>28.9</v>
          </cell>
          <cell r="D5">
            <v>9.8000000000000007</v>
          </cell>
          <cell r="F5">
            <v>2.9</v>
          </cell>
          <cell r="G5">
            <v>36.700000000000003</v>
          </cell>
        </row>
        <row r="6">
          <cell r="A6" t="str">
            <v>Food_Service</v>
          </cell>
          <cell r="B6">
            <v>258.3</v>
          </cell>
          <cell r="C6">
            <v>43.1</v>
          </cell>
          <cell r="D6">
            <v>17.399999999999999</v>
          </cell>
          <cell r="F6">
            <v>40.4</v>
          </cell>
          <cell r="G6">
            <v>25.4</v>
          </cell>
        </row>
        <row r="7">
          <cell r="A7" t="str">
            <v>Health_Care--Inpatient</v>
          </cell>
          <cell r="B7">
            <v>249.2</v>
          </cell>
          <cell r="C7">
            <v>91.8</v>
          </cell>
          <cell r="D7">
            <v>18.600000000000001</v>
          </cell>
          <cell r="F7">
            <v>48.4</v>
          </cell>
          <cell r="G7">
            <v>40.1</v>
          </cell>
        </row>
        <row r="8">
          <cell r="A8" t="str">
            <v>Health_Care--Outpatient</v>
          </cell>
          <cell r="B8">
            <v>94.6</v>
          </cell>
          <cell r="C8">
            <v>38.1</v>
          </cell>
          <cell r="D8">
            <v>7.2</v>
          </cell>
          <cell r="F8">
            <v>2.5</v>
          </cell>
          <cell r="G8">
            <v>22.6</v>
          </cell>
        </row>
        <row r="9">
          <cell r="A9" t="str">
            <v>Lodging</v>
          </cell>
          <cell r="B9">
            <v>100</v>
          </cell>
          <cell r="C9">
            <v>22.2</v>
          </cell>
          <cell r="D9">
            <v>4.9000000000000004</v>
          </cell>
          <cell r="F9">
            <v>31.4</v>
          </cell>
          <cell r="G9">
            <v>24.3</v>
          </cell>
        </row>
        <row r="10">
          <cell r="A10" t="str">
            <v>Office_Building</v>
          </cell>
          <cell r="B10">
            <v>92.9</v>
          </cell>
          <cell r="C10">
            <v>32.799999999999997</v>
          </cell>
          <cell r="D10">
            <v>8.9</v>
          </cell>
          <cell r="F10">
            <v>2</v>
          </cell>
          <cell r="G10">
            <v>23.1</v>
          </cell>
        </row>
        <row r="11">
          <cell r="A11" t="str">
            <v>Public_Assembly</v>
          </cell>
          <cell r="B11">
            <v>93.9</v>
          </cell>
          <cell r="C11">
            <v>49.7</v>
          </cell>
          <cell r="D11">
            <v>9.6</v>
          </cell>
          <cell r="F11">
            <v>1</v>
          </cell>
          <cell r="G11">
            <v>7</v>
          </cell>
        </row>
        <row r="12">
          <cell r="A12" t="str">
            <v>Public_Order_and_Safety</v>
          </cell>
          <cell r="B12">
            <v>115.8</v>
          </cell>
          <cell r="C12">
            <v>49.9</v>
          </cell>
          <cell r="D12">
            <v>8.9</v>
          </cell>
          <cell r="F12">
            <v>14</v>
          </cell>
          <cell r="G12">
            <v>16.5</v>
          </cell>
        </row>
        <row r="13">
          <cell r="A13" t="str">
            <v>Religious_Worship</v>
          </cell>
          <cell r="B13">
            <v>43.5</v>
          </cell>
          <cell r="C13">
            <v>26.2</v>
          </cell>
          <cell r="D13">
            <v>2.9</v>
          </cell>
          <cell r="F13">
            <v>0.8</v>
          </cell>
          <cell r="G13">
            <v>4.4000000000000004</v>
          </cell>
        </row>
        <row r="14">
          <cell r="A14" t="str">
            <v>Retail_(Other_Than_Mall)</v>
          </cell>
          <cell r="B14">
            <v>73.900000000000006</v>
          </cell>
          <cell r="C14">
            <v>24.8</v>
          </cell>
          <cell r="D14">
            <v>5.9</v>
          </cell>
          <cell r="F14">
            <v>1.1000000000000001</v>
          </cell>
          <cell r="G14">
            <v>25.7</v>
          </cell>
        </row>
        <row r="15">
          <cell r="A15" t="str">
            <v>Select</v>
          </cell>
          <cell r="B15">
            <v>108.1</v>
          </cell>
          <cell r="C15">
            <v>55.4</v>
          </cell>
          <cell r="D15">
            <v>3.6</v>
          </cell>
          <cell r="F15">
            <v>6.2</v>
          </cell>
          <cell r="G15">
            <v>18</v>
          </cell>
        </row>
        <row r="16">
          <cell r="A16" t="str">
            <v>Service</v>
          </cell>
          <cell r="B16">
            <v>77</v>
          </cell>
          <cell r="C16">
            <v>35.9</v>
          </cell>
          <cell r="D16">
            <v>3.8</v>
          </cell>
          <cell r="F16">
            <v>1</v>
          </cell>
          <cell r="G16">
            <v>15.6</v>
          </cell>
        </row>
        <row r="17">
          <cell r="A17" t="str">
            <v>Warehouse_and_Storage</v>
          </cell>
          <cell r="B17">
            <v>45.2</v>
          </cell>
          <cell r="C17">
            <v>19.3</v>
          </cell>
          <cell r="D17">
            <v>1.3</v>
          </cell>
          <cell r="F17">
            <v>0.6</v>
          </cell>
          <cell r="G17">
            <v>13.1</v>
          </cell>
        </row>
        <row r="18">
          <cell r="B18">
            <v>89.8</v>
          </cell>
          <cell r="C18">
            <v>34</v>
          </cell>
          <cell r="D18">
            <v>6.7</v>
          </cell>
          <cell r="F18">
            <v>6.9</v>
          </cell>
          <cell r="G18">
            <v>17.600000000000001</v>
          </cell>
        </row>
        <row r="19">
          <cell r="C19">
            <v>0.37861915367483295</v>
          </cell>
          <cell r="D19">
            <v>7.4610244988864149E-2</v>
          </cell>
          <cell r="F19">
            <v>7.6837416481069051E-2</v>
          </cell>
          <cell r="G19">
            <v>0.1959910913140312</v>
          </cell>
        </row>
        <row r="20">
          <cell r="C20">
            <v>0.51248843663274746</v>
          </cell>
          <cell r="D20">
            <v>3.330249768732655E-2</v>
          </cell>
          <cell r="F20">
            <v>5.7354301572617949E-2</v>
          </cell>
          <cell r="G20">
            <v>0.16651248843663274</v>
          </cell>
        </row>
        <row r="21">
          <cell r="B21">
            <v>1.2037861915367483</v>
          </cell>
          <cell r="C21">
            <v>1.3535724002829623</v>
          </cell>
          <cell r="D21">
            <v>0.44635287945103341</v>
          </cell>
          <cell r="E21">
            <v>0.94335125981906254</v>
          </cell>
          <cell r="F21">
            <v>0.74643714220595525</v>
          </cell>
          <cell r="G21">
            <v>0.84959212850054655</v>
          </cell>
          <cell r="H21">
            <v>0.67095993737991888</v>
          </cell>
          <cell r="I21">
            <v>0.77029686317382895</v>
          </cell>
          <cell r="J21">
            <v>0.8307123034227567</v>
          </cell>
          <cell r="K21">
            <v>0.8307123034227567</v>
          </cell>
          <cell r="L21">
            <v>0.86438982923719276</v>
          </cell>
          <cell r="M21">
            <v>0.80420020863266883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S154"/>
  <sheetViews>
    <sheetView tabSelected="1" zoomScaleNormal="100" zoomScalePageLayoutView="85" workbookViewId="0">
      <selection activeCell="B2" sqref="B2"/>
    </sheetView>
  </sheetViews>
  <sheetFormatPr defaultColWidth="8.85546875" defaultRowHeight="15" x14ac:dyDescent="0.25"/>
  <cols>
    <col min="2" max="2" width="35" customWidth="1"/>
    <col min="3" max="3" width="28.7109375" style="1" customWidth="1"/>
    <col min="4" max="4" width="19.42578125" customWidth="1"/>
    <col min="5" max="5" width="20.140625" customWidth="1"/>
    <col min="6" max="6" width="20.7109375" customWidth="1"/>
    <col min="7" max="7" width="40.42578125" customWidth="1"/>
    <col min="8" max="8" width="30.7109375" customWidth="1"/>
    <col min="9" max="9" width="19.42578125" hidden="1" customWidth="1"/>
    <col min="10" max="10" width="13.28515625" hidden="1" customWidth="1"/>
    <col min="11" max="11" width="16.140625" hidden="1" customWidth="1"/>
    <col min="12" max="16" width="9.140625" hidden="1" customWidth="1"/>
    <col min="17" max="17" width="9.140625" customWidth="1"/>
  </cols>
  <sheetData>
    <row r="1" spans="1:9" x14ac:dyDescent="0.25">
      <c r="A1" s="63" t="s">
        <v>16</v>
      </c>
      <c r="B1" s="7"/>
      <c r="F1" s="60"/>
    </row>
    <row r="2" spans="1:9" x14ac:dyDescent="0.25">
      <c r="A2" s="83" t="s">
        <v>44</v>
      </c>
      <c r="B2" s="104" t="s">
        <v>49</v>
      </c>
      <c r="F2" s="60"/>
      <c r="I2" s="85" t="s">
        <v>49</v>
      </c>
    </row>
    <row r="3" spans="1:9" x14ac:dyDescent="0.25">
      <c r="A3" s="83" t="s">
        <v>45</v>
      </c>
      <c r="B3" s="104" t="s">
        <v>50</v>
      </c>
      <c r="F3" s="60"/>
      <c r="I3" s="85" t="s">
        <v>50</v>
      </c>
    </row>
    <row r="4" spans="1:9" x14ac:dyDescent="0.25">
      <c r="A4" s="83" t="s">
        <v>47</v>
      </c>
      <c r="B4" s="104" t="s">
        <v>51</v>
      </c>
      <c r="F4" s="60"/>
      <c r="I4" s="85" t="s">
        <v>51</v>
      </c>
    </row>
    <row r="5" spans="1:9" x14ac:dyDescent="0.25">
      <c r="A5" s="166" t="s">
        <v>48</v>
      </c>
      <c r="B5" s="167" t="s">
        <v>52</v>
      </c>
      <c r="F5" s="60"/>
      <c r="I5" s="85" t="s">
        <v>52</v>
      </c>
    </row>
    <row r="6" spans="1:9" x14ac:dyDescent="0.25">
      <c r="A6" s="164" t="s">
        <v>46</v>
      </c>
      <c r="B6" s="165" t="s">
        <v>53</v>
      </c>
      <c r="F6" s="60"/>
      <c r="I6" s="82" t="s">
        <v>53</v>
      </c>
    </row>
    <row r="7" spans="1:9" x14ac:dyDescent="0.25">
      <c r="A7" s="164" t="s">
        <v>19</v>
      </c>
      <c r="B7" s="165" t="s">
        <v>20</v>
      </c>
      <c r="C7" s="163"/>
      <c r="F7" s="60"/>
      <c r="I7" s="82" t="s">
        <v>20</v>
      </c>
    </row>
    <row r="8" spans="1:9" x14ac:dyDescent="0.25">
      <c r="A8" s="164" t="s">
        <v>18</v>
      </c>
      <c r="B8" s="165" t="s">
        <v>54</v>
      </c>
      <c r="F8" s="60"/>
      <c r="I8" s="82" t="s">
        <v>54</v>
      </c>
    </row>
    <row r="9" spans="1:9" x14ac:dyDescent="0.25">
      <c r="D9" s="1"/>
      <c r="E9" s="1"/>
      <c r="F9" s="8"/>
    </row>
    <row r="10" spans="1:9" x14ac:dyDescent="0.25">
      <c r="A10" s="63" t="s">
        <v>0</v>
      </c>
      <c r="B10" s="7"/>
      <c r="C10" s="7"/>
      <c r="D10" s="7"/>
      <c r="E10" s="7"/>
      <c r="F10" s="7"/>
      <c r="G10" s="7"/>
      <c r="H10" s="7"/>
    </row>
    <row r="11" spans="1:9" x14ac:dyDescent="0.25">
      <c r="B11" s="10" t="s">
        <v>393</v>
      </c>
      <c r="D11" s="1"/>
      <c r="E11" s="1"/>
      <c r="F11" s="8"/>
    </row>
    <row r="12" spans="1:9" x14ac:dyDescent="0.25">
      <c r="B12" s="10" t="s">
        <v>394</v>
      </c>
      <c r="D12" s="1"/>
      <c r="E12" s="1"/>
      <c r="F12" s="8"/>
    </row>
    <row r="13" spans="1:9" x14ac:dyDescent="0.25">
      <c r="B13" s="10" t="s">
        <v>2</v>
      </c>
      <c r="D13" s="1"/>
      <c r="E13" s="1"/>
      <c r="F13" s="8"/>
    </row>
    <row r="14" spans="1:9" x14ac:dyDescent="0.25">
      <c r="B14" s="10" t="s">
        <v>396</v>
      </c>
      <c r="D14" s="1"/>
      <c r="E14" s="1"/>
      <c r="F14" s="8"/>
    </row>
    <row r="15" spans="1:9" x14ac:dyDescent="0.25">
      <c r="B15" s="10" t="s">
        <v>395</v>
      </c>
      <c r="D15" s="1"/>
      <c r="E15" s="1"/>
      <c r="F15" s="8"/>
    </row>
    <row r="16" spans="1:9" x14ac:dyDescent="0.25">
      <c r="B16" s="10" t="s">
        <v>21</v>
      </c>
      <c r="D16" s="1"/>
      <c r="E16" s="1"/>
      <c r="F16" s="8"/>
    </row>
    <row r="17" spans="1:11" x14ac:dyDescent="0.25">
      <c r="B17" s="10" t="s">
        <v>3</v>
      </c>
      <c r="D17" s="1"/>
      <c r="E17" s="1"/>
      <c r="F17" s="8"/>
    </row>
    <row r="18" spans="1:11" x14ac:dyDescent="0.25">
      <c r="B18" s="10" t="s">
        <v>1</v>
      </c>
      <c r="D18" s="1"/>
      <c r="E18" s="1"/>
      <c r="F18" s="8"/>
    </row>
    <row r="19" spans="1:11" x14ac:dyDescent="0.25">
      <c r="B19" s="10"/>
      <c r="D19" s="4"/>
      <c r="E19" s="4"/>
      <c r="F19" s="61"/>
    </row>
    <row r="20" spans="1:11" x14ac:dyDescent="0.25">
      <c r="A20" s="2" t="s">
        <v>516</v>
      </c>
      <c r="B20" s="2"/>
      <c r="C20" s="3" t="s">
        <v>392</v>
      </c>
      <c r="D20" s="3" t="s">
        <v>515</v>
      </c>
      <c r="E20" s="3" t="s">
        <v>425</v>
      </c>
      <c r="F20" s="62" t="s">
        <v>133</v>
      </c>
      <c r="G20" s="3" t="s">
        <v>244</v>
      </c>
      <c r="H20" s="3" t="s">
        <v>246</v>
      </c>
      <c r="I20" s="3" t="s">
        <v>503</v>
      </c>
      <c r="J20" s="3" t="s">
        <v>504</v>
      </c>
      <c r="K20" s="3" t="s">
        <v>505</v>
      </c>
    </row>
    <row r="21" spans="1:11" x14ac:dyDescent="0.25">
      <c r="A21" s="65" t="s">
        <v>67</v>
      </c>
      <c r="D21" s="1"/>
      <c r="E21" s="24"/>
      <c r="F21" s="8"/>
      <c r="G21" s="124"/>
      <c r="H21" s="124"/>
      <c r="K21" s="57"/>
    </row>
    <row r="22" spans="1:11" x14ac:dyDescent="0.25">
      <c r="B22" s="105" t="s">
        <v>306</v>
      </c>
      <c r="C22" s="13" t="str">
        <f>VLOOKUP(B22,RoofRTbl,2,)</f>
        <v>R-??</v>
      </c>
      <c r="D22" s="108">
        <v>23.0001</v>
      </c>
      <c r="E22" s="109">
        <v>0.99999899999999997</v>
      </c>
      <c r="F22" s="18" t="str">
        <f>IF(RIGHT(C22,1)="?","-",IF(RIGHT(C22,1)="†","No auto calc for ci",1-((1/D22)/(1/VALUE(RIGHT(C22,2))))))</f>
        <v>-</v>
      </c>
      <c r="G22" s="124"/>
      <c r="H22" s="124"/>
      <c r="I22" t="s">
        <v>306</v>
      </c>
      <c r="J22" s="13">
        <v>23.0001</v>
      </c>
      <c r="K22" s="19">
        <v>0.99999899999999997</v>
      </c>
    </row>
    <row r="23" spans="1:11" x14ac:dyDescent="0.25">
      <c r="B23" s="105" t="s">
        <v>304</v>
      </c>
      <c r="C23" s="13" t="str">
        <f>VLOOKUP(B23,RoofRTbl,2,)</f>
        <v>R-??</v>
      </c>
      <c r="D23" s="110" t="str">
        <f>IF(RIGHT($C23,1)="?","-",23.0001)</f>
        <v>-</v>
      </c>
      <c r="E23" s="111" t="str">
        <f>IF(RIGHT($C23,1)="?","-",0.0001%)</f>
        <v>-</v>
      </c>
      <c r="F23" s="18" t="str">
        <f>IF(D23="-","-",IF(RIGHT(C23,1)="†","No auto calc for ci",1-((1/D23)/(1/VALUE(RIGHT(C23,2))))))</f>
        <v>-</v>
      </c>
      <c r="G23" s="124"/>
      <c r="H23" s="124"/>
      <c r="I23" t="s">
        <v>304</v>
      </c>
      <c r="J23" s="13">
        <v>23.0001</v>
      </c>
      <c r="K23" s="20">
        <v>9.9999999999999995E-7</v>
      </c>
    </row>
    <row r="24" spans="1:11" x14ac:dyDescent="0.25">
      <c r="B24" s="105" t="s">
        <v>305</v>
      </c>
      <c r="C24" s="13" t="str">
        <f>VLOOKUP(B24,RoofRTbl,2,)</f>
        <v>R-??</v>
      </c>
      <c r="D24" s="110" t="str">
        <f>IF(RIGHT($C24,1)="?","-",23.0001)</f>
        <v>-</v>
      </c>
      <c r="E24" s="111" t="str">
        <f>IF(RIGHT($C24,1)="?","-",0.0001%)</f>
        <v>-</v>
      </c>
      <c r="F24" s="18" t="str">
        <f>IF(D24="-","-",IF(RIGHT(C24,1)="†","No auto calc for ci",1-((1/D24)/(1/VALUE(RIGHT(C24,2))))))</f>
        <v>-</v>
      </c>
      <c r="G24" s="124"/>
      <c r="H24" s="124"/>
      <c r="I24" t="s">
        <v>305</v>
      </c>
      <c r="J24" s="13">
        <v>23.0001</v>
      </c>
      <c r="K24" s="20">
        <v>9.9999999999999995E-7</v>
      </c>
    </row>
    <row r="25" spans="1:11" x14ac:dyDescent="0.25">
      <c r="A25" s="65" t="s">
        <v>68</v>
      </c>
      <c r="B25" s="105"/>
      <c r="C25" s="13"/>
      <c r="D25" s="110"/>
      <c r="E25" s="111"/>
      <c r="F25" s="18"/>
      <c r="G25" s="124"/>
      <c r="H25" s="124"/>
      <c r="J25" s="13"/>
      <c r="K25" s="20"/>
    </row>
    <row r="26" spans="1:11" x14ac:dyDescent="0.25">
      <c r="B26" s="106" t="s">
        <v>307</v>
      </c>
      <c r="C26" s="15" t="str">
        <f>VLOOKUP(B26,WallRTbl,2,FALSE)</f>
        <v>R-??</v>
      </c>
      <c r="D26" s="112">
        <v>13.0001</v>
      </c>
      <c r="E26" s="113">
        <v>0.99999899999999997</v>
      </c>
      <c r="F26" s="16" t="str">
        <f>IF(RIGHT(C26,1)="?","-",IF(RIGHT(C26,1)="†","No auto calc for ci",1-((1/D26)/(1/VALUE(RIGHT(C26,2))))))</f>
        <v>-</v>
      </c>
      <c r="G26" s="114"/>
      <c r="H26" s="114"/>
      <c r="I26" t="s">
        <v>307</v>
      </c>
      <c r="J26">
        <v>13.0001</v>
      </c>
      <c r="K26" s="19">
        <v>0.99999899999999997</v>
      </c>
    </row>
    <row r="27" spans="1:11" x14ac:dyDescent="0.25">
      <c r="B27" s="106" t="s">
        <v>308</v>
      </c>
      <c r="C27" s="15" t="str">
        <f>VLOOKUP(B27,WallRTbl,2,FALSE)</f>
        <v>R-??</v>
      </c>
      <c r="D27" s="112" t="str">
        <f>IF(RIGHT($C27,1)="?","-",13.0001)</f>
        <v>-</v>
      </c>
      <c r="E27" s="113" t="str">
        <f>IF(RIGHT($C27,1)="?","-",0.0001%)</f>
        <v>-</v>
      </c>
      <c r="F27" s="16" t="str">
        <f>IF(D27="-","-",IF(RIGHT(C27,1)="†","No auto calc for ci",1-((1/D27)/(1/VALUE(RIGHT(C27,2))))))</f>
        <v>-</v>
      </c>
      <c r="G27" s="114"/>
      <c r="H27" s="114"/>
      <c r="I27" t="s">
        <v>308</v>
      </c>
      <c r="J27">
        <v>13.0001</v>
      </c>
      <c r="K27" s="20">
        <v>9.9999999999999995E-7</v>
      </c>
    </row>
    <row r="28" spans="1:11" x14ac:dyDescent="0.25">
      <c r="B28" s="106" t="s">
        <v>309</v>
      </c>
      <c r="C28" s="15" t="str">
        <f>VLOOKUP(B28,WallRTbl,2,FALSE)</f>
        <v>R-??</v>
      </c>
      <c r="D28" s="112" t="str">
        <f>IF(RIGHT($C28,1)="?","-",13.0001)</f>
        <v>-</v>
      </c>
      <c r="E28" s="113" t="str">
        <f>IF(RIGHT($C28,1)="?","-",0.0001%)</f>
        <v>-</v>
      </c>
      <c r="F28" s="16" t="str">
        <f>IF(D28="-","-",IF(RIGHT(C28,1)="†","No auto calc for ci",1-((1/D28)/(1/VALUE(RIGHT(C28,2))))))</f>
        <v>-</v>
      </c>
      <c r="G28" s="114"/>
      <c r="H28" s="114"/>
      <c r="I28" t="s">
        <v>309</v>
      </c>
      <c r="J28">
        <v>13.0001</v>
      </c>
      <c r="K28" s="20">
        <v>9.9999999999999995E-7</v>
      </c>
    </row>
    <row r="29" spans="1:11" x14ac:dyDescent="0.25">
      <c r="A29" s="66" t="s">
        <v>156</v>
      </c>
      <c r="B29" s="107"/>
      <c r="C29" s="26"/>
      <c r="D29" s="110"/>
      <c r="E29" s="111"/>
      <c r="F29" s="29"/>
      <c r="G29" s="125"/>
      <c r="H29" s="125"/>
      <c r="I29" s="30"/>
      <c r="J29" s="30"/>
      <c r="K29" s="64"/>
    </row>
    <row r="30" spans="1:11" s="30" customFormat="1" x14ac:dyDescent="0.25">
      <c r="B30" s="105" t="s">
        <v>311</v>
      </c>
      <c r="C30" s="26"/>
      <c r="D30" s="110"/>
      <c r="E30" s="109">
        <f>IF(LEFT(B30,4)="None",0%,99.9999%)</f>
        <v>0.99999899999999997</v>
      </c>
      <c r="F30" s="29" t="s">
        <v>297</v>
      </c>
      <c r="G30" s="126"/>
      <c r="H30" s="126"/>
      <c r="I30" s="30" t="s">
        <v>311</v>
      </c>
      <c r="K30" s="19">
        <v>0.99999899999999997</v>
      </c>
    </row>
    <row r="31" spans="1:11" s="30" customFormat="1" x14ac:dyDescent="0.25">
      <c r="B31" s="107" t="s">
        <v>423</v>
      </c>
      <c r="C31" s="26"/>
      <c r="D31" s="110"/>
      <c r="E31" s="111" t="str">
        <f>IF(B31=I31,"-",0.0001%)</f>
        <v>-</v>
      </c>
      <c r="F31" s="29" t="s">
        <v>297</v>
      </c>
      <c r="G31" s="126"/>
      <c r="H31" s="126"/>
      <c r="I31" s="30" t="s">
        <v>423</v>
      </c>
      <c r="K31" s="20">
        <v>9.9999999999999995E-7</v>
      </c>
    </row>
    <row r="32" spans="1:11" s="30" customFormat="1" x14ac:dyDescent="0.25">
      <c r="B32" s="107" t="s">
        <v>424</v>
      </c>
      <c r="C32" s="26"/>
      <c r="D32" s="110"/>
      <c r="E32" s="111" t="str">
        <f>IF(B32=I32,"-",0.0001%)</f>
        <v>-</v>
      </c>
      <c r="F32" s="29" t="s">
        <v>297</v>
      </c>
      <c r="G32" s="126"/>
      <c r="H32" s="126"/>
      <c r="I32" s="30" t="s">
        <v>424</v>
      </c>
      <c r="K32" s="20">
        <v>9.9999999999999995E-7</v>
      </c>
    </row>
    <row r="33" spans="1:11" s="30" customFormat="1" x14ac:dyDescent="0.25">
      <c r="A33" s="66" t="s">
        <v>158</v>
      </c>
      <c r="B33" s="22"/>
      <c r="C33" s="26"/>
      <c r="D33" s="27"/>
      <c r="E33" s="28"/>
      <c r="F33" s="29"/>
      <c r="G33" s="126"/>
      <c r="H33" s="126"/>
      <c r="K33" s="20"/>
    </row>
    <row r="34" spans="1:11" x14ac:dyDescent="0.25">
      <c r="B34" s="14" t="s">
        <v>500</v>
      </c>
      <c r="C34" s="31">
        <v>0.5</v>
      </c>
      <c r="D34" s="114">
        <v>0.25000099999999997</v>
      </c>
      <c r="E34" s="40"/>
      <c r="F34" s="16">
        <f>1-(D34/C34)</f>
        <v>0.49999800000000005</v>
      </c>
      <c r="G34" s="114"/>
      <c r="H34" s="114"/>
      <c r="J34">
        <v>0.25000099999999997</v>
      </c>
      <c r="K34" s="41"/>
    </row>
    <row r="35" spans="1:11" x14ac:dyDescent="0.25">
      <c r="B35" s="14"/>
      <c r="C35" s="52" t="s">
        <v>343</v>
      </c>
      <c r="D35" s="113">
        <v>0.25000099999999997</v>
      </c>
      <c r="E35" s="113" t="s">
        <v>297</v>
      </c>
      <c r="F35" s="16" t="s">
        <v>297</v>
      </c>
      <c r="G35" s="114"/>
      <c r="H35" s="114"/>
      <c r="J35" s="53">
        <v>0.25000099999999997</v>
      </c>
      <c r="K35" s="53">
        <v>0.25000099999999997</v>
      </c>
    </row>
    <row r="36" spans="1:11" x14ac:dyDescent="0.25">
      <c r="B36" s="14"/>
      <c r="C36" s="52" t="s">
        <v>344</v>
      </c>
      <c r="D36" s="113">
        <v>0.25000099999999997</v>
      </c>
      <c r="E36" s="113" t="s">
        <v>297</v>
      </c>
      <c r="F36" s="16" t="s">
        <v>297</v>
      </c>
      <c r="G36" s="114"/>
      <c r="H36" s="114"/>
      <c r="J36" s="53">
        <v>0.25000099999999997</v>
      </c>
      <c r="K36" s="53">
        <v>0.25000099999999997</v>
      </c>
    </row>
    <row r="37" spans="1:11" x14ac:dyDescent="0.25">
      <c r="B37" s="14"/>
      <c r="C37" s="52" t="s">
        <v>345</v>
      </c>
      <c r="D37" s="113">
        <v>0.25000099999999997</v>
      </c>
      <c r="E37" s="113" t="s">
        <v>297</v>
      </c>
      <c r="F37" s="16" t="s">
        <v>297</v>
      </c>
      <c r="G37" s="114"/>
      <c r="H37" s="114"/>
      <c r="J37" s="53">
        <v>0.25000099999999997</v>
      </c>
      <c r="K37" s="53">
        <v>0.25000099999999997</v>
      </c>
    </row>
    <row r="38" spans="1:11" x14ac:dyDescent="0.25">
      <c r="B38" s="22" t="s">
        <v>298</v>
      </c>
      <c r="C38" s="26" t="str">
        <f>IF(D$34&gt;0.4004999,"U-0.46","U-0.57")</f>
        <v>U-0.57</v>
      </c>
      <c r="D38" s="115">
        <v>0.35000100000000001</v>
      </c>
      <c r="E38" s="111">
        <v>0.99999899999999997</v>
      </c>
      <c r="F38" s="29">
        <f>1-(D38/VALUE(RIGHT(C38,4)))</f>
        <v>0.38596315789473679</v>
      </c>
      <c r="G38" s="126"/>
      <c r="H38" s="126"/>
      <c r="I38" t="s">
        <v>298</v>
      </c>
      <c r="J38">
        <v>0.35000100000000001</v>
      </c>
      <c r="K38" s="19">
        <v>0.99999899999999997</v>
      </c>
    </row>
    <row r="39" spans="1:11" x14ac:dyDescent="0.25">
      <c r="B39" s="107" t="s">
        <v>310</v>
      </c>
      <c r="C39" s="26" t="str">
        <f>IF(B39=I39,"&lt;----  &lt;----  &lt;----",IF(D$34&gt;0.4004999,IF(B39=NewLookUps!A$37,"SHGC-0.26 (0.47 North)",IF(B39=NewLookUps!A$35,"SHGC-0.36 (0.64 North)","&lt;----  &lt;----  &lt;----")),IF(B39=NewLookUps!A$35,"SHGC-0.49 (0.64 North)",IF(B39=NewLookUps!A$37,IF(D$34&gt;0.1004999,"SHGC-0.39 (0.49 North)","SHGC-0.49"),"&lt;----  &lt;----  &lt;----"))))</f>
        <v>&lt;----  &lt;----  &lt;----</v>
      </c>
      <c r="D39" s="115">
        <v>0.39000099999999999</v>
      </c>
      <c r="E39" s="41"/>
      <c r="F39" s="29" t="str">
        <f>IF(RIGHT(C39,5)="&lt;----","-",1-(D39/VALUE(MID(C39,6,4))))</f>
        <v>-</v>
      </c>
      <c r="G39" s="126"/>
      <c r="H39" s="126"/>
      <c r="I39" t="s">
        <v>310</v>
      </c>
      <c r="J39">
        <v>0.39000099999999999</v>
      </c>
      <c r="K39" s="41"/>
    </row>
    <row r="40" spans="1:11" x14ac:dyDescent="0.25">
      <c r="B40" s="14" t="s">
        <v>299</v>
      </c>
      <c r="C40" s="35" t="str">
        <f>IF(D$34&gt;0.4004999,"U-0.47","U-0.67")</f>
        <v>U-0.67</v>
      </c>
      <c r="D40" s="116">
        <v>0.35000100000000001</v>
      </c>
      <c r="E40" s="113">
        <f>0.0001%</f>
        <v>9.9999999999999995E-7</v>
      </c>
      <c r="F40" s="16">
        <f>1-(D40/VALUE(RIGHT(C40,4)))</f>
        <v>0.4776104477611941</v>
      </c>
      <c r="G40" s="114"/>
      <c r="H40" s="114"/>
      <c r="I40" t="s">
        <v>299</v>
      </c>
      <c r="J40">
        <v>0.35000100000000001</v>
      </c>
      <c r="K40" s="20">
        <v>9.9999999999999995E-7</v>
      </c>
    </row>
    <row r="41" spans="1:11" x14ac:dyDescent="0.25">
      <c r="B41" s="106" t="str">
        <f>B39</f>
        <v xml:space="preserve"> Pick Climate Zone</v>
      </c>
      <c r="C41" s="15" t="str">
        <f>IF(B$41=I41,"&lt;----  &lt;----  &lt;----",IF(D$34&gt;0.4004999,IF(B$41=NewLookUps!A$37,"SHGC-0.26 (0.47 North)",IF(B$41=NewLookUps!A$35,"SHGC-0.36 (0.64 North)","&lt;----  &lt;----  &lt;----")),IF(B$41=NewLookUps!A$35,"SHGC-0.49 (0.64 North)",IF(B$41=NewLookUps!A$37,IF(D$34&gt;0.1004999,"SHGC-0.39 (0.49 North)","SHGC-0.49"),"&lt;----  &lt;----  &lt;----"))))</f>
        <v>&lt;----  &lt;----  &lt;----</v>
      </c>
      <c r="D41" s="116">
        <v>0.39000099999999999</v>
      </c>
      <c r="E41" s="40"/>
      <c r="F41" s="16" t="str">
        <f>IF(RIGHT(C41,5)="&lt;----","-",1-(D41/VALUE(MID(C41,6,4))))</f>
        <v>-</v>
      </c>
      <c r="G41" s="114"/>
      <c r="H41" s="114"/>
      <c r="I41" t="s">
        <v>310</v>
      </c>
      <c r="J41">
        <v>0.39000099999999999</v>
      </c>
      <c r="K41" s="41"/>
    </row>
    <row r="42" spans="1:11" x14ac:dyDescent="0.25">
      <c r="B42" s="22" t="s">
        <v>300</v>
      </c>
      <c r="C42" s="26" t="str">
        <f>IF(D$34&gt;0.4004999,"U-0.46","U-0.57")</f>
        <v>U-0.57</v>
      </c>
      <c r="D42" s="115" t="s">
        <v>297</v>
      </c>
      <c r="E42" s="111" t="str">
        <f>IF(D42="-","-",0.0001%)</f>
        <v>-</v>
      </c>
      <c r="F42" s="29" t="str">
        <f>IF(D42&lt;&gt;"-",1-(D42/VALUE(RIGHT(C42,4))),"-")</f>
        <v>-</v>
      </c>
      <c r="G42" s="126"/>
      <c r="H42" s="126"/>
      <c r="I42" t="s">
        <v>300</v>
      </c>
      <c r="J42">
        <v>0.35000100000000001</v>
      </c>
      <c r="K42" s="20">
        <v>9.9999999999999995E-7</v>
      </c>
    </row>
    <row r="43" spans="1:11" x14ac:dyDescent="0.25">
      <c r="B43" s="41"/>
      <c r="C43" s="26" t="str">
        <f>IF(B$39=I43,"&lt;----  &lt;----  &lt;----",IF(D$34&gt;0.4004999,IF(B$39=NewLookUps!A$37,"SHGC-0.26 (0.47 North)",IF(B$39=NewLookUps!A$35,"SHGC-0.36 (0.64 North)","&lt;----  &lt;----  &lt;----")),IF(B$39=NewLookUps!A$35,"SHGC-0.49 (0.64 North)",IF(B$39=NewLookUps!A$37,IF(D$34&gt;0.1004999,"SHGC-0.39 (0.49 North)","SHGC-0.49"),"&lt;----  &lt;----  &lt;----"))))</f>
        <v>SHGC-0.49 (0.64 North)</v>
      </c>
      <c r="D43" s="115" t="s">
        <v>297</v>
      </c>
      <c r="E43" s="41"/>
      <c r="F43" s="29" t="str">
        <f>IF(D43&lt;&gt;"-",IF(RIGHT(C43,5)="&lt;----","-",1-(D43/VALUE(MID(C43,6,4)))),"-")</f>
        <v>-</v>
      </c>
      <c r="G43" s="126"/>
      <c r="H43" s="126"/>
      <c r="J43">
        <v>0.39000099999999999</v>
      </c>
      <c r="K43" s="41"/>
    </row>
    <row r="44" spans="1:11" x14ac:dyDescent="0.25">
      <c r="B44" s="14" t="s">
        <v>301</v>
      </c>
      <c r="C44" s="15" t="str">
        <f>IF(D$34&gt;0.4004999,"U-0.47","U-0.67")</f>
        <v>U-0.67</v>
      </c>
      <c r="D44" s="116" t="s">
        <v>297</v>
      </c>
      <c r="E44" s="113" t="str">
        <f>IF(D44="-","-",0.0001%)</f>
        <v>-</v>
      </c>
      <c r="F44" s="16" t="str">
        <f>IF(D44&lt;&gt;"-",1-(D44/VALUE(RIGHT(C44,4))),"-")</f>
        <v>-</v>
      </c>
      <c r="G44" s="114"/>
      <c r="H44" s="114"/>
      <c r="I44" t="s">
        <v>301</v>
      </c>
      <c r="J44">
        <v>0.35000100000000001</v>
      </c>
      <c r="K44" s="20">
        <v>9.9999999999999995E-7</v>
      </c>
    </row>
    <row r="45" spans="1:11" x14ac:dyDescent="0.25">
      <c r="B45" s="40"/>
      <c r="C45" s="15" t="str">
        <f>IF(B$41=I45,"&lt;----  &lt;----  &lt;----",IF(D$34&gt;0.4004999,IF(B$41=NewLookUps!A$37,"SHGC-0.26 (0.47 North)",IF(B$41=NewLookUps!A$35,"SHGC-0.36 (0.64 North)","&lt;----  &lt;----  &lt;----")),IF(B$41=NewLookUps!A$35,"SHGC-0.49 (0.64 North)",IF(B$41=NewLookUps!A$37,IF(D$34&gt;0.1004999,"SHGC-0.39 (0.49 North)","SHGC-0.49"),"&lt;----  &lt;----  &lt;----"))))</f>
        <v>SHGC-0.49 (0.64 North)</v>
      </c>
      <c r="D45" s="116" t="s">
        <v>297</v>
      </c>
      <c r="E45" s="40"/>
      <c r="F45" s="16" t="str">
        <f>IF(D45&lt;&gt;"-",IF(RIGHT(C45,5)="&lt;----","-",1-(D45/VALUE(MID(C45,6,4)))),"-")</f>
        <v>-</v>
      </c>
      <c r="G45" s="114"/>
      <c r="H45" s="114"/>
      <c r="J45">
        <v>0.39000099999999999</v>
      </c>
      <c r="K45" s="41"/>
    </row>
    <row r="46" spans="1:11" x14ac:dyDescent="0.25">
      <c r="B46" s="22" t="s">
        <v>302</v>
      </c>
      <c r="C46" s="26" t="str">
        <f>IF(D$34&gt;0.4004999,"U-0.98","U-1.22")</f>
        <v>U-1.22</v>
      </c>
      <c r="D46" s="115" t="s">
        <v>297</v>
      </c>
      <c r="E46" s="111" t="str">
        <f>IF(D46="-","-",0.0001%)</f>
        <v>-</v>
      </c>
      <c r="F46" s="29" t="str">
        <f>IF(D46&lt;&gt;"-",1-(D46/VALUE(RIGHT(C46,4))),"-")</f>
        <v>-</v>
      </c>
      <c r="G46" s="126"/>
      <c r="H46" s="126"/>
      <c r="I46" t="s">
        <v>302</v>
      </c>
      <c r="J46">
        <v>0.35000100000000001</v>
      </c>
      <c r="K46" s="20">
        <v>9.9999999999999995E-7</v>
      </c>
    </row>
    <row r="47" spans="1:11" x14ac:dyDescent="0.25">
      <c r="B47" s="47" t="s">
        <v>303</v>
      </c>
      <c r="C47" s="48" t="str">
        <f>IF(D$34&gt;0.4004999,"U-1.02","U-1.27")</f>
        <v>U-1.27</v>
      </c>
      <c r="D47" s="117" t="s">
        <v>297</v>
      </c>
      <c r="E47" s="120" t="str">
        <f>IF(D47="-","-",0.0001%)</f>
        <v>-</v>
      </c>
      <c r="F47" s="51" t="str">
        <f>IF(D47&lt;&gt;"-",1-(D47/VALUE(RIGHT(C47,4))),"-")</f>
        <v>-</v>
      </c>
      <c r="G47" s="127"/>
      <c r="H47" s="127"/>
      <c r="I47" t="s">
        <v>303</v>
      </c>
      <c r="J47">
        <v>0.39000099999999999</v>
      </c>
      <c r="K47" s="20">
        <v>9.9999999999999995E-7</v>
      </c>
    </row>
    <row r="48" spans="1:11" x14ac:dyDescent="0.25">
      <c r="A48" s="65" t="s">
        <v>157</v>
      </c>
      <c r="B48" s="47"/>
      <c r="C48" s="48"/>
      <c r="D48" s="117"/>
      <c r="E48" s="50"/>
      <c r="F48" s="51"/>
      <c r="G48" s="127"/>
      <c r="H48" s="127"/>
      <c r="K48" s="20"/>
    </row>
    <row r="49" spans="1:11" x14ac:dyDescent="0.25">
      <c r="B49" s="54" t="s">
        <v>346</v>
      </c>
      <c r="C49" s="35"/>
      <c r="D49" s="118"/>
      <c r="E49" s="121">
        <v>0.50000100000000003</v>
      </c>
      <c r="F49" s="55"/>
      <c r="G49" s="128"/>
      <c r="H49" s="128"/>
      <c r="J49" s="53"/>
      <c r="K49" s="53">
        <v>0.50000100000000003</v>
      </c>
    </row>
    <row r="50" spans="1:11" x14ac:dyDescent="0.25">
      <c r="A50" s="30"/>
      <c r="B50" s="47" t="s">
        <v>233</v>
      </c>
      <c r="C50" s="48"/>
      <c r="D50" s="117" t="s">
        <v>297</v>
      </c>
      <c r="E50" s="122" t="s">
        <v>297</v>
      </c>
      <c r="F50" s="51" t="s">
        <v>297</v>
      </c>
      <c r="G50" s="127"/>
      <c r="H50" s="127"/>
      <c r="J50" s="53"/>
      <c r="K50" s="53"/>
    </row>
    <row r="51" spans="1:11" x14ac:dyDescent="0.25">
      <c r="A51" s="30"/>
      <c r="B51" s="47" t="s">
        <v>234</v>
      </c>
      <c r="C51" s="48"/>
      <c r="D51" s="117" t="s">
        <v>297</v>
      </c>
      <c r="E51" s="122" t="s">
        <v>297</v>
      </c>
      <c r="F51" s="51" t="s">
        <v>297</v>
      </c>
      <c r="G51" s="127"/>
      <c r="H51" s="127"/>
      <c r="J51" s="53"/>
      <c r="K51" s="53"/>
    </row>
    <row r="52" spans="1:11" x14ac:dyDescent="0.25">
      <c r="A52" s="43"/>
      <c r="B52" s="37" t="s">
        <v>235</v>
      </c>
      <c r="C52" s="38"/>
      <c r="D52" s="119" t="s">
        <v>297</v>
      </c>
      <c r="E52" s="123" t="s">
        <v>297</v>
      </c>
      <c r="F52" s="39" t="s">
        <v>297</v>
      </c>
      <c r="G52" s="129"/>
      <c r="H52" s="129"/>
      <c r="K52" s="20"/>
    </row>
    <row r="53" spans="1:11" x14ac:dyDescent="0.25">
      <c r="A53" s="36" t="s">
        <v>296</v>
      </c>
      <c r="C53" s="32"/>
      <c r="D53" s="17"/>
      <c r="E53" s="33"/>
      <c r="F53" s="34"/>
      <c r="K53" s="20"/>
    </row>
    <row r="54" spans="1:11" x14ac:dyDescent="0.25">
      <c r="B54" s="36"/>
      <c r="C54" s="32"/>
      <c r="D54" s="17"/>
      <c r="E54" s="33"/>
      <c r="F54" s="34"/>
      <c r="K54" s="20"/>
    </row>
    <row r="55" spans="1:11" x14ac:dyDescent="0.25">
      <c r="A55" s="2" t="s">
        <v>430</v>
      </c>
      <c r="B55" s="2"/>
      <c r="C55" s="3" t="s">
        <v>392</v>
      </c>
      <c r="D55" s="23" t="s">
        <v>515</v>
      </c>
      <c r="E55" s="25" t="s">
        <v>431</v>
      </c>
      <c r="F55" s="62" t="s">
        <v>133</v>
      </c>
      <c r="G55" s="3" t="s">
        <v>245</v>
      </c>
      <c r="H55" s="3" t="s">
        <v>246</v>
      </c>
      <c r="K55" s="20"/>
    </row>
    <row r="56" spans="1:11" x14ac:dyDescent="0.25">
      <c r="B56" s="136" t="s">
        <v>426</v>
      </c>
      <c r="C56" s="42" t="str">
        <f>VLOOKUP(B56,BldgLPDtable,2,FALSE)</f>
        <v>&lt;----  &lt;----  &lt;----</v>
      </c>
      <c r="D56" s="138">
        <v>1.0001</v>
      </c>
      <c r="E56" s="109">
        <v>0.99999899999999997</v>
      </c>
      <c r="F56" s="18" t="str">
        <f>IF(B56=I56,"-",(C56-D56)/C56)</f>
        <v>-</v>
      </c>
      <c r="G56" s="124"/>
      <c r="H56" s="124"/>
      <c r="I56" s="5" t="s">
        <v>426</v>
      </c>
      <c r="J56">
        <v>1.0001</v>
      </c>
      <c r="K56" s="19">
        <v>0.99999899999999997</v>
      </c>
    </row>
    <row r="57" spans="1:11" x14ac:dyDescent="0.25">
      <c r="B57" s="137" t="s">
        <v>427</v>
      </c>
      <c r="C57" s="42" t="str">
        <f>VLOOKUP(B57,BldgLPDtable,2,FALSE)</f>
        <v>&lt;----  &lt;----  &lt;----</v>
      </c>
      <c r="D57" s="138" t="str">
        <f>IF(B57&lt;&gt;I57,J57,"-")</f>
        <v>-</v>
      </c>
      <c r="E57" s="111" t="str">
        <f>IF(B57=I57,"-",0.0001%)</f>
        <v>-</v>
      </c>
      <c r="F57" s="18" t="str">
        <f>IF(B57=I57,"-",(C57-D57)/C57)</f>
        <v>-</v>
      </c>
      <c r="G57" s="124"/>
      <c r="H57" s="124"/>
      <c r="I57" s="5" t="s">
        <v>427</v>
      </c>
      <c r="J57">
        <v>1.0001</v>
      </c>
      <c r="K57" s="57">
        <v>9.9999999999999995E-7</v>
      </c>
    </row>
    <row r="58" spans="1:11" x14ac:dyDescent="0.25">
      <c r="B58" s="137" t="s">
        <v>428</v>
      </c>
      <c r="C58" s="42" t="str">
        <f>VLOOKUP(B58,BldgLPDtable,2,FALSE)</f>
        <v>&lt;----  &lt;----  &lt;----</v>
      </c>
      <c r="D58" s="138" t="str">
        <f>IF(B58&lt;&gt;I58,J58,"-")</f>
        <v>-</v>
      </c>
      <c r="E58" s="111" t="str">
        <f>IF(B58=I58,"-",0.0001%)</f>
        <v>-</v>
      </c>
      <c r="F58" s="18" t="str">
        <f>IF(B58=I58,"-",(C58-D58)/C58)</f>
        <v>-</v>
      </c>
      <c r="G58" s="124"/>
      <c r="H58" s="124"/>
      <c r="I58" s="5" t="s">
        <v>428</v>
      </c>
      <c r="J58">
        <v>1.0001</v>
      </c>
      <c r="K58" s="57">
        <v>9.9999999999999995E-7</v>
      </c>
    </row>
    <row r="59" spans="1:11" x14ac:dyDescent="0.25">
      <c r="B59" s="14" t="s">
        <v>432</v>
      </c>
      <c r="C59" s="21"/>
      <c r="D59" s="139" t="s">
        <v>297</v>
      </c>
      <c r="E59" s="113">
        <v>9.9999999999999995E-7</v>
      </c>
      <c r="F59" s="45" t="s">
        <v>297</v>
      </c>
      <c r="G59" s="114"/>
      <c r="H59" s="114"/>
      <c r="I59" s="5"/>
      <c r="K59" s="57">
        <v>9.9999999999999995E-7</v>
      </c>
    </row>
    <row r="60" spans="1:11" x14ac:dyDescent="0.25">
      <c r="B60" s="14" t="s">
        <v>433</v>
      </c>
      <c r="C60" s="21"/>
      <c r="D60" s="139"/>
      <c r="E60" s="113">
        <v>9.9999999999999995E-7</v>
      </c>
      <c r="F60" s="45" t="s">
        <v>297</v>
      </c>
      <c r="G60" s="114"/>
      <c r="H60" s="114"/>
      <c r="K60" s="57">
        <v>9.9999999999999995E-7</v>
      </c>
    </row>
    <row r="61" spans="1:11" x14ac:dyDescent="0.25">
      <c r="B61" t="s">
        <v>435</v>
      </c>
      <c r="D61" s="140" t="s">
        <v>297</v>
      </c>
      <c r="E61" s="111">
        <v>9.9999999999999995E-7</v>
      </c>
      <c r="F61" s="8" t="s">
        <v>297</v>
      </c>
      <c r="G61" s="124"/>
      <c r="H61" s="124"/>
      <c r="K61" s="57">
        <v>9.9999999999999995E-7</v>
      </c>
    </row>
    <row r="62" spans="1:11" x14ac:dyDescent="0.25">
      <c r="A62" s="43"/>
      <c r="B62" s="43" t="s">
        <v>434</v>
      </c>
      <c r="C62" s="44"/>
      <c r="D62" s="141" t="s">
        <v>297</v>
      </c>
      <c r="E62" s="123">
        <v>9.9999999999999995E-7</v>
      </c>
      <c r="F62" s="46" t="s">
        <v>297</v>
      </c>
      <c r="G62" s="130"/>
      <c r="H62" s="130"/>
      <c r="K62" s="57">
        <v>9.9999999999999995E-7</v>
      </c>
    </row>
    <row r="63" spans="1:11" x14ac:dyDescent="0.25">
      <c r="A63" t="s">
        <v>429</v>
      </c>
      <c r="D63" s="1"/>
      <c r="E63" s="24"/>
      <c r="F63" s="8"/>
      <c r="K63" s="57"/>
    </row>
    <row r="64" spans="1:11" x14ac:dyDescent="0.25">
      <c r="D64" s="1"/>
      <c r="E64" s="24"/>
      <c r="F64" s="8"/>
      <c r="K64" s="57"/>
    </row>
    <row r="65" spans="1:19" ht="30" x14ac:dyDescent="0.25">
      <c r="A65" s="2" t="s">
        <v>249</v>
      </c>
      <c r="B65" s="2"/>
      <c r="C65" s="3" t="s">
        <v>392</v>
      </c>
      <c r="D65" s="23" t="s">
        <v>515</v>
      </c>
      <c r="E65" s="25" t="s">
        <v>248</v>
      </c>
      <c r="F65" s="62" t="s">
        <v>65</v>
      </c>
      <c r="G65" s="3" t="s">
        <v>244</v>
      </c>
      <c r="H65" s="3" t="s">
        <v>246</v>
      </c>
      <c r="I65" s="3" t="s">
        <v>503</v>
      </c>
      <c r="J65" s="3" t="s">
        <v>504</v>
      </c>
      <c r="K65" s="3" t="s">
        <v>505</v>
      </c>
    </row>
    <row r="66" spans="1:19" x14ac:dyDescent="0.25">
      <c r="A66" s="65" t="s">
        <v>159</v>
      </c>
      <c r="D66" s="140"/>
      <c r="E66" s="142"/>
      <c r="F66" s="8"/>
      <c r="G66" s="124"/>
      <c r="H66" s="124"/>
      <c r="K66" s="57"/>
    </row>
    <row r="67" spans="1:19" x14ac:dyDescent="0.25">
      <c r="B67" s="136" t="s">
        <v>240</v>
      </c>
      <c r="C67" s="42" t="str">
        <f>VLOOKUP(B67,AirHandlerTypeTbl,2,FALSE)</f>
        <v>&lt;----  &lt;----  &lt;----</v>
      </c>
      <c r="D67" s="140" t="s">
        <v>297</v>
      </c>
      <c r="E67" s="109">
        <v>0.99999899999999997</v>
      </c>
      <c r="F67" s="8" t="s">
        <v>297</v>
      </c>
      <c r="G67" s="124"/>
      <c r="H67" s="124"/>
      <c r="I67" t="s">
        <v>240</v>
      </c>
      <c r="K67" s="19">
        <v>0.99999899999999997</v>
      </c>
    </row>
    <row r="68" spans="1:19" x14ac:dyDescent="0.25">
      <c r="B68" s="124" t="s">
        <v>241</v>
      </c>
      <c r="C68" s="42" t="str">
        <f>VLOOKUP(B68,AirHandlerTypeTbl,2,FALSE)</f>
        <v>&lt;----  &lt;----  &lt;----</v>
      </c>
      <c r="D68" s="140" t="s">
        <v>297</v>
      </c>
      <c r="E68" s="111" t="str">
        <f>IF(B68=I68,"-",0.0001%)</f>
        <v>-</v>
      </c>
      <c r="F68" s="8" t="s">
        <v>297</v>
      </c>
      <c r="G68" s="124"/>
      <c r="H68" s="124"/>
      <c r="I68" t="s">
        <v>241</v>
      </c>
      <c r="K68" s="57">
        <v>9.9999999999999995E-7</v>
      </c>
    </row>
    <row r="69" spans="1:19" x14ac:dyDescent="0.25">
      <c r="B69" s="124" t="s">
        <v>242</v>
      </c>
      <c r="C69" s="42" t="str">
        <f>VLOOKUP(B69,AirHandlerTypeTbl,2,FALSE)</f>
        <v>&lt;----  &lt;----  &lt;----</v>
      </c>
      <c r="D69" s="140" t="s">
        <v>297</v>
      </c>
      <c r="E69" s="111" t="str">
        <f>IF(B69=I69,"-",0.0001%)</f>
        <v>-</v>
      </c>
      <c r="F69" s="8" t="s">
        <v>297</v>
      </c>
      <c r="G69" s="124"/>
      <c r="H69" s="124"/>
      <c r="I69" t="s">
        <v>242</v>
      </c>
      <c r="K69" s="57">
        <v>9.9999999999999995E-7</v>
      </c>
    </row>
    <row r="70" spans="1:19" x14ac:dyDescent="0.25">
      <c r="B70" s="124" t="s">
        <v>243</v>
      </c>
      <c r="C70" s="42" t="str">
        <f>VLOOKUP(B70,AirHandlerTypeTbl,2,FALSE)</f>
        <v>&lt;----  &lt;----  &lt;----</v>
      </c>
      <c r="D70" s="140" t="s">
        <v>297</v>
      </c>
      <c r="E70" s="111" t="str">
        <f>IF(B70=I70,"-",0.0001%)</f>
        <v>-</v>
      </c>
      <c r="F70" s="8" t="s">
        <v>297</v>
      </c>
      <c r="G70" s="124"/>
      <c r="H70" s="124"/>
      <c r="I70" t="s">
        <v>243</v>
      </c>
      <c r="K70" s="57">
        <v>9.9999999999999995E-7</v>
      </c>
    </row>
    <row r="71" spans="1:19" ht="28.5" x14ac:dyDescent="0.25">
      <c r="B71" s="102" t="s">
        <v>17</v>
      </c>
      <c r="C71" s="99">
        <v>9.9999999999999995E-7</v>
      </c>
      <c r="D71" s="143" t="s">
        <v>297</v>
      </c>
      <c r="E71" s="144">
        <v>9.9999999999999995E-7</v>
      </c>
      <c r="F71" s="100" t="str">
        <f>IF(E71&lt;&gt;K71,E71-C71,"-")</f>
        <v>-</v>
      </c>
      <c r="G71" s="131"/>
      <c r="H71" s="131"/>
      <c r="I71" s="101" t="s">
        <v>229</v>
      </c>
      <c r="J71" s="84"/>
      <c r="K71" s="103">
        <v>9.9999999999999995E-7</v>
      </c>
      <c r="L71" s="84"/>
    </row>
    <row r="72" spans="1:19" s="178" customFormat="1" ht="42.75" x14ac:dyDescent="0.25">
      <c r="B72" s="179" t="s">
        <v>565</v>
      </c>
      <c r="C72" s="180">
        <v>9.9999999999999995E-7</v>
      </c>
      <c r="D72" s="181" t="s">
        <v>297</v>
      </c>
      <c r="E72" s="182">
        <f>IF(RIGHT(C72,1)="-","-",0.0001%)</f>
        <v>9.9999999999999995E-7</v>
      </c>
      <c r="F72" s="183" t="str">
        <f>IF(E72&lt;&gt;K72,E72-C72,"-")</f>
        <v>-</v>
      </c>
      <c r="G72" s="184"/>
      <c r="H72" s="184"/>
      <c r="I72" s="185" t="s">
        <v>253</v>
      </c>
      <c r="J72" s="185"/>
      <c r="K72" s="186">
        <v>9.9999999999999995E-7</v>
      </c>
    </row>
    <row r="73" spans="1:19" s="185" customFormat="1" ht="42.75" x14ac:dyDescent="0.25">
      <c r="B73" s="194" t="s">
        <v>566</v>
      </c>
      <c r="C73" s="195">
        <v>9.9999999999999995E-7</v>
      </c>
      <c r="D73" s="196" t="s">
        <v>297</v>
      </c>
      <c r="E73" s="197">
        <v>9.9999999999999995E-7</v>
      </c>
      <c r="F73" s="198" t="str">
        <f>IF(E73&lt;&gt;K73,E73-C73,"-")</f>
        <v>-</v>
      </c>
      <c r="G73" s="199"/>
      <c r="H73" s="199"/>
      <c r="I73" s="185" t="s">
        <v>33</v>
      </c>
      <c r="K73" s="186">
        <v>9.9999999999999995E-7</v>
      </c>
    </row>
    <row r="74" spans="1:19" s="187" customFormat="1" x14ac:dyDescent="0.25">
      <c r="A74" s="178"/>
      <c r="B74" s="200" t="s">
        <v>252</v>
      </c>
      <c r="C74" s="201"/>
      <c r="D74" s="202" t="s">
        <v>297</v>
      </c>
      <c r="E74" s="202" t="s">
        <v>297</v>
      </c>
      <c r="F74" s="203" t="s">
        <v>297</v>
      </c>
      <c r="G74" s="204"/>
      <c r="H74" s="204"/>
      <c r="I74" s="187" t="s">
        <v>252</v>
      </c>
      <c r="J74" s="178"/>
      <c r="K74" s="188">
        <v>9.9999999999999995E-7</v>
      </c>
      <c r="L74" s="178"/>
      <c r="M74" s="178"/>
      <c r="N74" s="178"/>
      <c r="O74" s="178"/>
      <c r="P74" s="178"/>
      <c r="Q74" s="178"/>
      <c r="R74" s="178"/>
      <c r="S74" s="178"/>
    </row>
    <row r="75" spans="1:19" s="178" customFormat="1" x14ac:dyDescent="0.25">
      <c r="B75" s="178" t="s">
        <v>231</v>
      </c>
      <c r="C75" s="189"/>
      <c r="D75" s="190" t="s">
        <v>297</v>
      </c>
      <c r="E75" s="190" t="s">
        <v>297</v>
      </c>
      <c r="F75" s="191" t="s">
        <v>297</v>
      </c>
      <c r="G75" s="192"/>
      <c r="H75" s="192"/>
      <c r="I75" s="178" t="s">
        <v>231</v>
      </c>
      <c r="K75" s="188">
        <v>9.9999999999999995E-7</v>
      </c>
    </row>
    <row r="76" spans="1:19" s="178" customFormat="1" x14ac:dyDescent="0.25">
      <c r="A76" s="193" t="s">
        <v>57</v>
      </c>
      <c r="C76" s="189"/>
      <c r="D76" s="190"/>
      <c r="E76" s="190"/>
      <c r="F76" s="191"/>
      <c r="G76" s="192"/>
      <c r="H76" s="192"/>
      <c r="K76" s="188"/>
    </row>
    <row r="77" spans="1:19" x14ac:dyDescent="0.25">
      <c r="B77" s="107" t="s">
        <v>264</v>
      </c>
      <c r="C77" s="205" t="str">
        <f>VLOOKUP(B77,CentralHtTbl,2,FALSE)</f>
        <v>&lt;----  &lt;----  &lt;----</v>
      </c>
      <c r="D77" s="111" t="str">
        <f>IF(LEFT(B77,10)="Gas Boiler",80.0001%,"-")</f>
        <v>-</v>
      </c>
      <c r="E77" s="111">
        <v>0.99999899999999997</v>
      </c>
      <c r="F77" s="18" t="str">
        <f>IF(LEFT(B77,10)="Gas Boiler",1-((1/D77)/(1/C77)),"-")</f>
        <v>-</v>
      </c>
      <c r="G77" s="124"/>
      <c r="H77" s="124"/>
      <c r="I77" t="s">
        <v>264</v>
      </c>
      <c r="J77" s="59">
        <v>0.80000099999999996</v>
      </c>
      <c r="K77" s="19">
        <v>0.99999899999999997</v>
      </c>
    </row>
    <row r="78" spans="1:19" x14ac:dyDescent="0.25">
      <c r="B78" s="126" t="s">
        <v>265</v>
      </c>
      <c r="C78" s="205" t="str">
        <f>VLOOKUP(B78,CentralHtTbl,2,FALSE)</f>
        <v>&lt;----  &lt;----  &lt;----</v>
      </c>
      <c r="D78" s="111" t="str">
        <f>IF(LEFT(B78,10)="Gas Boiler",80.0001%,"-")</f>
        <v>-</v>
      </c>
      <c r="E78" s="111" t="str">
        <f t="shared" ref="E78:E99" si="0">IF(B78=I78,"-",0.0001%)</f>
        <v>-</v>
      </c>
      <c r="F78" s="18" t="str">
        <f>IF(LEFT(B78,10)="Gas Boiler",1-((1/D78)/(1/C78)),"-")</f>
        <v>-</v>
      </c>
      <c r="G78" s="124"/>
      <c r="H78" s="124"/>
      <c r="I78" t="s">
        <v>265</v>
      </c>
      <c r="J78" s="59">
        <v>0.80000099999999996</v>
      </c>
      <c r="K78" s="57">
        <v>9.9999999999999995E-7</v>
      </c>
    </row>
    <row r="79" spans="1:19" x14ac:dyDescent="0.25">
      <c r="B79" s="124" t="s">
        <v>230</v>
      </c>
      <c r="C79" s="58" t="str">
        <f>VLOOKUP(B79,CentralHtTbl,2,FALSE)</f>
        <v>&lt;----  &lt;----  &lt;----</v>
      </c>
      <c r="D79" s="111" t="str">
        <f>IF(LEFT(B79,10)="Gas Boiler",80.0001%,"-")</f>
        <v>-</v>
      </c>
      <c r="E79" s="111" t="str">
        <f t="shared" si="0"/>
        <v>-</v>
      </c>
      <c r="F79" s="18" t="str">
        <f>IF(LEFT(B79,10)="Gas Boiler",1-((1/D79)/(1/C79)),"-")</f>
        <v>-</v>
      </c>
      <c r="G79" s="124"/>
      <c r="H79" s="124"/>
      <c r="I79" t="s">
        <v>230</v>
      </c>
      <c r="J79" s="59">
        <v>0.80000099999999996</v>
      </c>
      <c r="K79" s="57">
        <v>9.9999999999999995E-7</v>
      </c>
    </row>
    <row r="80" spans="1:19" x14ac:dyDescent="0.25">
      <c r="A80" s="65" t="s">
        <v>58</v>
      </c>
      <c r="B80" s="124"/>
      <c r="C80" s="58"/>
      <c r="D80" s="111"/>
      <c r="E80" s="111"/>
      <c r="F80" s="18"/>
      <c r="G80" s="124"/>
      <c r="H80" s="124"/>
      <c r="J80" s="59"/>
      <c r="K80" s="57"/>
    </row>
    <row r="81" spans="1:11" x14ac:dyDescent="0.25">
      <c r="B81" s="106" t="s">
        <v>254</v>
      </c>
      <c r="C81" s="70" t="str">
        <f>VLOOKUP(B81,AirHandlerHtTbl,2,FALSE)</f>
        <v>&lt;----  &lt;----  &lt;----</v>
      </c>
      <c r="D81" s="145" t="str">
        <f>IF(OR(LEFT(B81,3)="Gas",B81="Duct Furnace--Gas (Ec)",B81="Unit Heater--Gas (Ec)"),80.0001%,IF(RIGHT(C81,3)="COP","4.0 COP",IF(RIGHT(C81,4)="hspf","7.5 hspf","-")))</f>
        <v>-</v>
      </c>
      <c r="E81" s="113">
        <v>0.99999899999999997</v>
      </c>
      <c r="F81" s="16" t="str">
        <f>IF(OR(LEFT(B81,3)="Gas",B81="Duct Furnace--Gas (Ec)",B81="Unit Heater--Gas (Ec)"),D81/C81-1,IF(OR(RIGHT(C81,3)="COP",RIGHT(C81,4)="hspf"),(D81/VALUE(LEFT(C81,4)))-1,"-"))</f>
        <v>-</v>
      </c>
      <c r="G81" s="132"/>
      <c r="H81" s="132"/>
      <c r="I81" s="69" t="s">
        <v>254</v>
      </c>
      <c r="J81" s="59">
        <v>0.80000099999999996</v>
      </c>
      <c r="K81" s="19">
        <v>0.99999899999999997</v>
      </c>
    </row>
    <row r="82" spans="1:11" x14ac:dyDescent="0.25">
      <c r="B82" s="132" t="s">
        <v>255</v>
      </c>
      <c r="C82" s="70" t="str">
        <f>VLOOKUP(B82,AirHandlerHtTbl,2,FALSE)</f>
        <v>&lt;----  &lt;----  &lt;----</v>
      </c>
      <c r="D82" s="145" t="str">
        <f t="shared" ref="D82:D87" si="1">IF(OR(LEFT(B82,3)="Gas",B82="Duct Furnace--Gas (Ec)",B82="Unit Heater--Gas (Ec)"),80.0001%,IF(RIGHT(C82,3)="COP","4.0 COP",IF(RIGHT(C82,4)="hspf","7.5 hspf","-")))</f>
        <v>-</v>
      </c>
      <c r="E82" s="113" t="str">
        <f t="shared" si="0"/>
        <v>-</v>
      </c>
      <c r="F82" s="16" t="str">
        <f>IF(OR(LEFT(B82,3)="Gas",B82="Duct Furnace--Gas (Ec)",B82="Unit Heater--Gas (Ec)"),D82/C82-1,IF(OR(RIGHT(C82,3)="COP",RIGHT(C82,4)="hspf"),(D82/VALUE(LEFT(C82,4)))-1,"-"))</f>
        <v>-</v>
      </c>
      <c r="G82" s="132"/>
      <c r="H82" s="132"/>
      <c r="I82" s="69" t="s">
        <v>255</v>
      </c>
      <c r="J82" s="59">
        <v>0.80000099999999996</v>
      </c>
      <c r="K82" s="57">
        <v>9.9999999999999995E-7</v>
      </c>
    </row>
    <row r="83" spans="1:11" x14ac:dyDescent="0.25">
      <c r="B83" s="132" t="s">
        <v>256</v>
      </c>
      <c r="C83" s="70" t="str">
        <f>VLOOKUP(B83,AirHandlerHtTbl,2,FALSE)</f>
        <v>&lt;----  &lt;----  &lt;----</v>
      </c>
      <c r="D83" s="145" t="str">
        <f t="shared" si="1"/>
        <v>-</v>
      </c>
      <c r="E83" s="113" t="str">
        <f t="shared" si="0"/>
        <v>-</v>
      </c>
      <c r="F83" s="16" t="str">
        <f>IF(OR(LEFT(B83,3)="Gas",B83="Duct Furnace--Gas (Ec)",B83="Unit Heater--Gas (Ec)"),D83/C83-1,IF(OR(RIGHT(C83,3)="COP",RIGHT(C83,4)="hspf"),(D83/VALUE(LEFT(C83,4)))-1,"-"))</f>
        <v>-</v>
      </c>
      <c r="G83" s="132"/>
      <c r="H83" s="132"/>
      <c r="I83" s="69" t="s">
        <v>256</v>
      </c>
      <c r="J83" s="59">
        <v>0.80000099999999996</v>
      </c>
      <c r="K83" s="57">
        <v>9.9999999999999995E-7</v>
      </c>
    </row>
    <row r="84" spans="1:11" x14ac:dyDescent="0.25">
      <c r="A84" s="65" t="s">
        <v>59</v>
      </c>
      <c r="B84" s="124"/>
      <c r="C84" s="58"/>
      <c r="D84" s="146"/>
      <c r="E84" s="111"/>
      <c r="F84" s="18"/>
      <c r="G84" s="124"/>
      <c r="H84" s="124"/>
      <c r="J84" s="59"/>
      <c r="K84" s="57"/>
    </row>
    <row r="85" spans="1:11" x14ac:dyDescent="0.25">
      <c r="B85" s="124" t="s">
        <v>365</v>
      </c>
      <c r="C85" s="58" t="str">
        <f>VLOOKUP(B85,ZoneHtTbl,2,FALSE)</f>
        <v>&lt;----  &lt;----  &lt;----</v>
      </c>
      <c r="D85" s="146" t="str">
        <f t="shared" si="1"/>
        <v>-</v>
      </c>
      <c r="E85" s="109">
        <v>0.99999899999999997</v>
      </c>
      <c r="F85" s="18" t="str">
        <f>IF(OR(LEFT(B85,3)="Gas",B85="Duct Furnace--Gas (Ec)",B85="Unit Heater--Gas (Ec)"),D85/C85-1,IF(OR(RIGHT(C85,3)="COP",RIGHT(C85,4)="hspf"),(D85/VALUE(LEFT(C85,4)))-1,"-"))</f>
        <v>-</v>
      </c>
      <c r="G85" s="124"/>
      <c r="H85" s="124"/>
      <c r="I85" t="s">
        <v>365</v>
      </c>
      <c r="J85" s="59">
        <v>0.80000099999999996</v>
      </c>
      <c r="K85" s="19">
        <v>0.99999899999999997</v>
      </c>
    </row>
    <row r="86" spans="1:11" x14ac:dyDescent="0.25">
      <c r="B86" s="124" t="s">
        <v>366</v>
      </c>
      <c r="C86" s="58" t="str">
        <f>VLOOKUP(B86,ZoneHtTbl,2,FALSE)</f>
        <v>&lt;----  &lt;----  &lt;----</v>
      </c>
      <c r="D86" s="146" t="str">
        <f t="shared" si="1"/>
        <v>-</v>
      </c>
      <c r="E86" s="111" t="str">
        <f t="shared" si="0"/>
        <v>-</v>
      </c>
      <c r="F86" s="18" t="str">
        <f>IF(OR(LEFT(B86,3)="Gas",B86="Duct Furnace--Gas (Ec)",B86="Unit Heater--Gas (Ec)"),D86/C86-1,IF(OR(RIGHT(C86,3)="COP",RIGHT(C86,4)="hspf"),(D86/VALUE(LEFT(C86,4)))-1,"-"))</f>
        <v>-</v>
      </c>
      <c r="G86" s="124"/>
      <c r="H86" s="124"/>
      <c r="I86" t="s">
        <v>366</v>
      </c>
      <c r="J86" s="59">
        <v>0.80000099999999996</v>
      </c>
      <c r="K86" s="57">
        <v>9.9999999999999995E-7</v>
      </c>
    </row>
    <row r="87" spans="1:11" x14ac:dyDescent="0.25">
      <c r="B87" s="124" t="s">
        <v>369</v>
      </c>
      <c r="C87" s="58" t="str">
        <f>VLOOKUP(B87,ZoneHtTbl,2,FALSE)</f>
        <v>&lt;----  &lt;----  &lt;----</v>
      </c>
      <c r="D87" s="146" t="str">
        <f t="shared" si="1"/>
        <v>-</v>
      </c>
      <c r="E87" s="111" t="str">
        <f t="shared" si="0"/>
        <v>-</v>
      </c>
      <c r="F87" s="18" t="str">
        <f>IF(OR(LEFT(B87,3)="Gas",B87="Duct Furnace--Gas (Ec)",B87="Unit Heater--Gas (Ec)"),D87/C87-1,IF(OR(RIGHT(C87,3)="COP",RIGHT(C87,4)="hspf"),(D87/VALUE(LEFT(C87,4)))-1,"-"))</f>
        <v>-</v>
      </c>
      <c r="G87" s="124"/>
      <c r="H87" s="124"/>
      <c r="I87" t="s">
        <v>369</v>
      </c>
      <c r="J87" s="59">
        <v>0.80000099999999996</v>
      </c>
      <c r="K87" s="57">
        <v>9.9999999999999995E-7</v>
      </c>
    </row>
    <row r="88" spans="1:11" x14ac:dyDescent="0.25">
      <c r="A88" s="65" t="s">
        <v>60</v>
      </c>
      <c r="B88" s="124"/>
      <c r="C88" s="58"/>
      <c r="D88" s="147"/>
      <c r="E88" s="111"/>
      <c r="F88" s="18"/>
      <c r="G88" s="124"/>
      <c r="H88" s="124"/>
      <c r="J88" s="59"/>
      <c r="K88" s="57"/>
    </row>
    <row r="89" spans="1:11" x14ac:dyDescent="0.25">
      <c r="B89" s="106" t="s">
        <v>261</v>
      </c>
      <c r="C89" s="71" t="str">
        <f>VLOOKUP(B89,CentralCoolTbl,2,FALSE)</f>
        <v>&lt;----  &lt;----  &lt;----</v>
      </c>
      <c r="D89" s="145" t="str">
        <f>IF(OR(LEFT(B89,3)="Gas",B89="Duct Furnace--Gas (Ec)",B89="Unit Heater--Gas (Ec)"),80.0001%,IF(RIGHT(C89,3)="COP","4.0 COP",IF(RIGHT(C89,4)="hspf","7.5 hspf","-")))</f>
        <v>-</v>
      </c>
      <c r="E89" s="113">
        <v>0.99999899999999997</v>
      </c>
      <c r="F89" s="16" t="str">
        <f>IF(D89="-","-","Enter Manually")</f>
        <v>-</v>
      </c>
      <c r="G89" s="132"/>
      <c r="H89" s="132"/>
      <c r="I89" s="69" t="s">
        <v>261</v>
      </c>
      <c r="J89" s="59">
        <v>0.80000099999999996</v>
      </c>
      <c r="K89" s="19">
        <v>0.99999899999999997</v>
      </c>
    </row>
    <row r="90" spans="1:11" x14ac:dyDescent="0.25">
      <c r="B90" s="132" t="s">
        <v>262</v>
      </c>
      <c r="C90" s="71" t="str">
        <f>VLOOKUP(B90,CentralCoolTbl,2,FALSE)</f>
        <v>&lt;----  &lt;----  &lt;----</v>
      </c>
      <c r="D90" s="145" t="str">
        <f>IF(OR(LEFT(B90,3)="Gas",B90="Duct Furnace--Gas (Ec)",B90="Unit Heater--Gas (Ec)"),80.0001%,IF(RIGHT(C90,3)="COP","4.0 COP",IF(RIGHT(C90,4)="hspf","7.5 hspf","-")))</f>
        <v>-</v>
      </c>
      <c r="E90" s="113" t="str">
        <f t="shared" si="0"/>
        <v>-</v>
      </c>
      <c r="F90" s="16" t="str">
        <f>IF(D90="-","-","Enter Manually")</f>
        <v>-</v>
      </c>
      <c r="G90" s="132"/>
      <c r="H90" s="132"/>
      <c r="I90" s="69" t="s">
        <v>262</v>
      </c>
      <c r="K90" s="57">
        <v>9.9999999999999995E-7</v>
      </c>
    </row>
    <row r="91" spans="1:11" x14ac:dyDescent="0.25">
      <c r="B91" s="132" t="s">
        <v>263</v>
      </c>
      <c r="C91" s="71" t="str">
        <f>VLOOKUP(B91,CentralCoolTbl,2,FALSE)</f>
        <v>&lt;----  &lt;----  &lt;----</v>
      </c>
      <c r="D91" s="145" t="str">
        <f>IF(OR(LEFT(B91,3)="Gas",B91="Duct Furnace--Gas (Ec)",B91="Unit Heater--Gas (Ec)"),80.0001%,IF(RIGHT(C91,3)="COP","4.0 COP",IF(RIGHT(C91,4)="hspf","7.5 hspf","-")))</f>
        <v>-</v>
      </c>
      <c r="E91" s="113" t="str">
        <f t="shared" si="0"/>
        <v>-</v>
      </c>
      <c r="F91" s="16" t="str">
        <f>IF(D91="-","-","Enter Manually")</f>
        <v>-</v>
      </c>
      <c r="G91" s="132"/>
      <c r="H91" s="132"/>
      <c r="I91" s="69" t="s">
        <v>263</v>
      </c>
      <c r="K91" s="57">
        <v>9.9999999999999995E-7</v>
      </c>
    </row>
    <row r="92" spans="1:11" x14ac:dyDescent="0.25">
      <c r="A92" s="65" t="s">
        <v>61</v>
      </c>
      <c r="B92" s="124"/>
      <c r="C92" s="42"/>
      <c r="D92" s="140"/>
      <c r="E92" s="111"/>
      <c r="F92" s="18"/>
      <c r="G92" s="124"/>
      <c r="H92" s="124"/>
      <c r="K92" s="57"/>
    </row>
    <row r="93" spans="1:11" x14ac:dyDescent="0.25">
      <c r="B93" s="107" t="s">
        <v>368</v>
      </c>
      <c r="C93" s="76" t="str">
        <f>VLOOKUP(B93,AirHandlerCoolTbl,2,FALSE)</f>
        <v>&lt;----  &lt;----  &lt;----</v>
      </c>
      <c r="D93" s="148" t="str">
        <f>IF(RIGHT(C93,3)="EER",J93,IF(RIGHT(C93,4)="IPLV","9.50 EER, 9.70 IPLV","-"))</f>
        <v>-</v>
      </c>
      <c r="E93" s="111">
        <v>0.99999899999999997</v>
      </c>
      <c r="F93" s="29" t="str">
        <f>IF(RIGHT(C93,3)="EER",(D93/VALUE(LEFT(C93,4)))-1,IF(RIGHT(C93,4)="IPLV","Enter Manually","-"))</f>
        <v>-</v>
      </c>
      <c r="G93" s="126"/>
      <c r="H93" s="126"/>
      <c r="I93" s="30" t="s">
        <v>368</v>
      </c>
      <c r="J93">
        <v>12.0001</v>
      </c>
      <c r="K93" s="19">
        <v>0.99999899999999997</v>
      </c>
    </row>
    <row r="94" spans="1:11" x14ac:dyDescent="0.25">
      <c r="B94" s="126" t="s">
        <v>367</v>
      </c>
      <c r="C94" s="76" t="str">
        <f>VLOOKUP(B94,AirHandlerCoolTbl,2,FALSE)</f>
        <v>&lt;----  &lt;----  &lt;----</v>
      </c>
      <c r="D94" s="148" t="str">
        <f>IF(RIGHT(C94,3)="EER",J94,IF(RIGHT(C94,4)="IPLV","9.50 EER, 9.70 IPLV","-"))</f>
        <v>-</v>
      </c>
      <c r="E94" s="111" t="str">
        <f t="shared" si="0"/>
        <v>-</v>
      </c>
      <c r="F94" s="29" t="str">
        <f t="shared" ref="F94:F99" si="2">IF(RIGHT(C94,3)="EER",(D94/VALUE(LEFT(C94,4)))-1,IF(RIGHT(C94,4)="IPLV","Enter Manually","-"))</f>
        <v>-</v>
      </c>
      <c r="G94" s="126"/>
      <c r="H94" s="126"/>
      <c r="I94" s="30" t="s">
        <v>367</v>
      </c>
      <c r="J94">
        <v>12.0001</v>
      </c>
      <c r="K94" s="57">
        <v>9.9999999999999995E-7</v>
      </c>
    </row>
    <row r="95" spans="1:11" x14ac:dyDescent="0.25">
      <c r="B95" s="126" t="s">
        <v>318</v>
      </c>
      <c r="C95" s="76" t="str">
        <f>VLOOKUP(B95,AirHandlerCoolTbl,2,FALSE)</f>
        <v>&lt;----  &lt;----  &lt;----</v>
      </c>
      <c r="D95" s="148" t="str">
        <f>IF(RIGHT(C95,3)="EER",J95,IF(RIGHT(C95,4)="IPLV","9.50 EER, 9.70 IPLV","-"))</f>
        <v>-</v>
      </c>
      <c r="E95" s="111" t="str">
        <f t="shared" si="0"/>
        <v>-</v>
      </c>
      <c r="F95" s="29" t="str">
        <f t="shared" si="2"/>
        <v>-</v>
      </c>
      <c r="G95" s="126"/>
      <c r="H95" s="126"/>
      <c r="I95" s="30" t="s">
        <v>318</v>
      </c>
      <c r="J95">
        <v>12.0001</v>
      </c>
      <c r="K95" s="57">
        <v>9.9999999999999995E-7</v>
      </c>
    </row>
    <row r="96" spans="1:11" x14ac:dyDescent="0.25">
      <c r="A96" s="65" t="s">
        <v>64</v>
      </c>
      <c r="B96" s="124"/>
      <c r="C96" s="42"/>
      <c r="D96" s="140"/>
      <c r="E96" s="111"/>
      <c r="F96" s="18"/>
      <c r="G96" s="124"/>
      <c r="H96" s="124"/>
      <c r="K96" s="57"/>
    </row>
    <row r="97" spans="1:11" x14ac:dyDescent="0.25">
      <c r="B97" s="106" t="s">
        <v>370</v>
      </c>
      <c r="C97" s="71" t="str">
        <f>VLOOKUP(B97,ZoneCoolTbl,2,FALSE)</f>
        <v>&lt;----  &lt;----  &lt;----</v>
      </c>
      <c r="D97" s="149" t="str">
        <f>IF(RIGHT(C97,3)="EER",J97,IF(RIGHT(C97,4)="IPLV","9.50 EER, 9.70 IPLV","-"))</f>
        <v>-</v>
      </c>
      <c r="E97" s="113">
        <v>0.99999899999999997</v>
      </c>
      <c r="F97" s="16" t="str">
        <f t="shared" si="2"/>
        <v>-</v>
      </c>
      <c r="G97" s="132"/>
      <c r="H97" s="132"/>
      <c r="I97" s="69" t="s">
        <v>370</v>
      </c>
      <c r="J97">
        <v>12.0001</v>
      </c>
      <c r="K97" s="19">
        <v>0.99999899999999997</v>
      </c>
    </row>
    <row r="98" spans="1:11" x14ac:dyDescent="0.25">
      <c r="A98" s="72"/>
      <c r="B98" s="128" t="s">
        <v>371</v>
      </c>
      <c r="C98" s="77" t="str">
        <f>VLOOKUP(B98,ZoneCoolTbl,2,FALSE)</f>
        <v>&lt;----  &lt;----  &lt;----</v>
      </c>
      <c r="D98" s="149" t="str">
        <f>IF(RIGHT(C98,3)="EER",J98,IF(RIGHT(C98,4)="IPLV","9.50 EER, 9.70 IPLV","-"))</f>
        <v>-</v>
      </c>
      <c r="E98" s="150" t="str">
        <f t="shared" si="0"/>
        <v>-</v>
      </c>
      <c r="F98" s="55" t="str">
        <f t="shared" si="2"/>
        <v>-</v>
      </c>
      <c r="G98" s="128"/>
      <c r="H98" s="128"/>
      <c r="I98" s="56" t="s">
        <v>371</v>
      </c>
      <c r="J98">
        <v>12.0001</v>
      </c>
      <c r="K98" s="57">
        <v>9.9999999999999995E-7</v>
      </c>
    </row>
    <row r="99" spans="1:11" x14ac:dyDescent="0.25">
      <c r="A99" s="72"/>
      <c r="B99" s="128" t="s">
        <v>93</v>
      </c>
      <c r="C99" s="77" t="str">
        <f>VLOOKUP(B99,ZoneCoolTbl,2,FALSE)</f>
        <v>&lt;----  &lt;----  &lt;----</v>
      </c>
      <c r="D99" s="149" t="str">
        <f>IF(RIGHT(C99,3)="EER",J99,IF(RIGHT(C99,4)="IPLV","9.50 EER, 9.70 IPLV","-"))</f>
        <v>-</v>
      </c>
      <c r="E99" s="150" t="str">
        <f t="shared" si="0"/>
        <v>-</v>
      </c>
      <c r="F99" s="55" t="str">
        <f t="shared" si="2"/>
        <v>-</v>
      </c>
      <c r="G99" s="128"/>
      <c r="H99" s="128"/>
      <c r="I99" s="56" t="s">
        <v>93</v>
      </c>
      <c r="J99">
        <v>12.0001</v>
      </c>
      <c r="K99" s="57">
        <v>9.9999999999999995E-7</v>
      </c>
    </row>
    <row r="100" spans="1:11" x14ac:dyDescent="0.25">
      <c r="A100" s="65" t="s">
        <v>163</v>
      </c>
      <c r="B100" s="72"/>
      <c r="C100" s="73"/>
      <c r="D100" s="151"/>
      <c r="E100" s="120"/>
      <c r="F100" s="74"/>
      <c r="G100" s="133"/>
      <c r="H100" s="133"/>
      <c r="I100" s="72"/>
      <c r="J100" s="72"/>
      <c r="K100" s="57"/>
    </row>
    <row r="101" spans="1:11" x14ac:dyDescent="0.25">
      <c r="A101" s="30"/>
      <c r="B101" s="47" t="s">
        <v>164</v>
      </c>
      <c r="C101" s="48" t="s">
        <v>297</v>
      </c>
      <c r="D101" s="117" t="s">
        <v>297</v>
      </c>
      <c r="E101" s="109" t="str">
        <f>IF(LEN(G101)&gt;0,K101,"-")</f>
        <v>-</v>
      </c>
      <c r="F101" s="153" t="str">
        <f>IF(D101="-","-","Enter Manually")</f>
        <v>-</v>
      </c>
      <c r="G101" s="127"/>
      <c r="H101" s="127"/>
      <c r="I101" t="s">
        <v>164</v>
      </c>
      <c r="J101" s="53"/>
      <c r="K101" s="57">
        <v>9.9999999999999995E-7</v>
      </c>
    </row>
    <row r="102" spans="1:11" x14ac:dyDescent="0.25">
      <c r="A102" s="30"/>
      <c r="B102" s="47" t="s">
        <v>165</v>
      </c>
      <c r="C102" s="48" t="s">
        <v>297</v>
      </c>
      <c r="D102" s="117" t="s">
        <v>297</v>
      </c>
      <c r="E102" s="109" t="str">
        <f>IF(LEN(G102)&gt;0,K102,"-")</f>
        <v>-</v>
      </c>
      <c r="F102" s="153" t="str">
        <f>IF(D102="-","-","Enter Manually")</f>
        <v>-</v>
      </c>
      <c r="G102" s="127"/>
      <c r="H102" s="127"/>
      <c r="I102" t="s">
        <v>165</v>
      </c>
      <c r="J102" s="53"/>
      <c r="K102" s="57">
        <v>9.9999999999999995E-7</v>
      </c>
    </row>
    <row r="103" spans="1:11" x14ac:dyDescent="0.25">
      <c r="A103" s="30"/>
      <c r="B103" s="47" t="s">
        <v>166</v>
      </c>
      <c r="C103" s="48" t="s">
        <v>297</v>
      </c>
      <c r="D103" s="117" t="s">
        <v>297</v>
      </c>
      <c r="E103" s="109" t="str">
        <f>IF(LEN(G103)&gt;0,K103,"-")</f>
        <v>-</v>
      </c>
      <c r="F103" s="153" t="str">
        <f>IF(D103="-","-","Enter Manually")</f>
        <v>-</v>
      </c>
      <c r="G103" s="127"/>
      <c r="H103" s="127"/>
      <c r="I103" t="s">
        <v>166</v>
      </c>
      <c r="J103" s="53"/>
      <c r="K103" s="57">
        <v>9.9999999999999995E-7</v>
      </c>
    </row>
    <row r="104" spans="1:11" x14ac:dyDescent="0.25">
      <c r="A104" s="43"/>
      <c r="B104" s="37" t="s">
        <v>167</v>
      </c>
      <c r="C104" s="38" t="s">
        <v>297</v>
      </c>
      <c r="D104" s="119" t="s">
        <v>297</v>
      </c>
      <c r="E104" s="152" t="str">
        <f>IF(LEN(G104)&gt;0,K104,"-")</f>
        <v>-</v>
      </c>
      <c r="F104" s="154" t="str">
        <f>IF(D104="-","-","Enter Manually")</f>
        <v>-</v>
      </c>
      <c r="G104" s="129"/>
      <c r="H104" s="129"/>
      <c r="I104" s="43" t="s">
        <v>167</v>
      </c>
      <c r="K104" s="57">
        <v>9.9999999999999995E-7</v>
      </c>
    </row>
    <row r="105" spans="1:11" x14ac:dyDescent="0.25">
      <c r="A105" s="5" t="s">
        <v>66</v>
      </c>
      <c r="D105" s="1"/>
      <c r="E105" s="24"/>
      <c r="F105" s="8"/>
      <c r="K105" s="20"/>
    </row>
    <row r="106" spans="1:11" x14ac:dyDescent="0.25">
      <c r="D106" s="1"/>
      <c r="E106" s="24"/>
      <c r="F106" s="8"/>
      <c r="K106" s="20"/>
    </row>
    <row r="107" spans="1:11" ht="15" customHeight="1" x14ac:dyDescent="0.25">
      <c r="A107" s="2" t="s">
        <v>168</v>
      </c>
      <c r="B107" s="2"/>
      <c r="C107" s="3" t="s">
        <v>161</v>
      </c>
      <c r="D107" s="23" t="s">
        <v>515</v>
      </c>
      <c r="E107" s="25" t="s">
        <v>431</v>
      </c>
      <c r="F107" s="62" t="s">
        <v>162</v>
      </c>
      <c r="G107" s="3" t="s">
        <v>244</v>
      </c>
      <c r="H107" s="3" t="s">
        <v>246</v>
      </c>
      <c r="I107" s="6"/>
      <c r="J107" s="6"/>
      <c r="K107" s="20"/>
    </row>
    <row r="108" spans="1:11" x14ac:dyDescent="0.25">
      <c r="A108" s="75"/>
      <c r="B108" t="s">
        <v>169</v>
      </c>
      <c r="C108" s="134"/>
      <c r="D108" s="117" t="s">
        <v>297</v>
      </c>
      <c r="E108" s="111">
        <v>9.9999999999999995E-7</v>
      </c>
      <c r="F108" s="49" t="s">
        <v>297</v>
      </c>
      <c r="G108" s="134"/>
      <c r="H108" s="134"/>
      <c r="I108" s="67"/>
      <c r="J108" s="67"/>
      <c r="K108" s="57">
        <v>9.9999999999999995E-7</v>
      </c>
    </row>
    <row r="109" spans="1:11" x14ac:dyDescent="0.25">
      <c r="A109" s="75"/>
      <c r="B109" t="s">
        <v>170</v>
      </c>
      <c r="C109" s="134"/>
      <c r="D109" s="117" t="s">
        <v>297</v>
      </c>
      <c r="E109" s="111">
        <v>9.9999999999999995E-7</v>
      </c>
      <c r="F109" s="49" t="s">
        <v>297</v>
      </c>
      <c r="G109" s="134"/>
      <c r="H109" s="134"/>
      <c r="I109" s="67"/>
      <c r="J109" s="67"/>
      <c r="K109" s="57">
        <v>9.9999999999999995E-7</v>
      </c>
    </row>
    <row r="110" spans="1:11" x14ac:dyDescent="0.25">
      <c r="A110" s="65" t="s">
        <v>171</v>
      </c>
      <c r="C110" s="134"/>
      <c r="D110" s="117"/>
      <c r="E110" s="155"/>
      <c r="F110" s="49"/>
      <c r="G110" s="134"/>
      <c r="H110" s="134"/>
      <c r="I110" s="67"/>
      <c r="J110" s="67"/>
      <c r="K110" s="20"/>
    </row>
    <row r="111" spans="1:11" x14ac:dyDescent="0.25">
      <c r="A111" s="30"/>
      <c r="B111" s="54" t="s">
        <v>164</v>
      </c>
      <c r="C111" s="156" t="s">
        <v>297</v>
      </c>
      <c r="D111" s="118" t="s">
        <v>297</v>
      </c>
      <c r="E111" s="113" t="str">
        <f>IF(LEN(G111)&gt;0,K111,"-")</f>
        <v>-</v>
      </c>
      <c r="F111" s="55" t="str">
        <f>IF(D111="-","-","Enter Manually")</f>
        <v>-</v>
      </c>
      <c r="G111" s="128"/>
      <c r="H111" s="128"/>
      <c r="I111" t="s">
        <v>164</v>
      </c>
      <c r="J111" s="53"/>
      <c r="K111" s="57">
        <v>9.9999999999999995E-7</v>
      </c>
    </row>
    <row r="112" spans="1:11" x14ac:dyDescent="0.25">
      <c r="A112" s="30"/>
      <c r="B112" s="54" t="s">
        <v>165</v>
      </c>
      <c r="C112" s="156" t="s">
        <v>297</v>
      </c>
      <c r="D112" s="118" t="s">
        <v>297</v>
      </c>
      <c r="E112" s="113" t="str">
        <f>IF(LEN(G112)&gt;0,K112,"-")</f>
        <v>-</v>
      </c>
      <c r="F112" s="55" t="str">
        <f>IF(D112="-","-","Enter Manually")</f>
        <v>-</v>
      </c>
      <c r="G112" s="128"/>
      <c r="H112" s="128"/>
      <c r="I112" t="s">
        <v>165</v>
      </c>
      <c r="J112" s="53"/>
      <c r="K112" s="57">
        <v>9.9999999999999995E-7</v>
      </c>
    </row>
    <row r="113" spans="1:15" x14ac:dyDescent="0.25">
      <c r="A113" s="30"/>
      <c r="B113" s="54" t="s">
        <v>166</v>
      </c>
      <c r="C113" s="156" t="s">
        <v>297</v>
      </c>
      <c r="D113" s="118" t="s">
        <v>297</v>
      </c>
      <c r="E113" s="113" t="str">
        <f>IF(LEN(G113)&gt;0,K113,"-")</f>
        <v>-</v>
      </c>
      <c r="F113" s="55" t="str">
        <f>IF(D113="-","-","Enter Manually")</f>
        <v>-</v>
      </c>
      <c r="G113" s="128"/>
      <c r="H113" s="128"/>
      <c r="I113" t="s">
        <v>166</v>
      </c>
      <c r="J113" s="53"/>
      <c r="K113" s="57">
        <v>9.9999999999999995E-7</v>
      </c>
    </row>
    <row r="114" spans="1:15" x14ac:dyDescent="0.25">
      <c r="A114" s="43"/>
      <c r="B114" s="79" t="s">
        <v>167</v>
      </c>
      <c r="C114" s="157" t="s">
        <v>297</v>
      </c>
      <c r="D114" s="158" t="s">
        <v>297</v>
      </c>
      <c r="E114" s="159" t="str">
        <f>IF(LEN(G114)&gt;0,K114,"-")</f>
        <v>-</v>
      </c>
      <c r="F114" s="80" t="str">
        <f>IF(D114="-","-","Enter Manually")</f>
        <v>-</v>
      </c>
      <c r="G114" s="135"/>
      <c r="H114" s="135"/>
      <c r="I114" s="43" t="s">
        <v>167</v>
      </c>
      <c r="K114" s="57">
        <v>9.9999999999999995E-7</v>
      </c>
    </row>
    <row r="115" spans="1:15" x14ac:dyDescent="0.25">
      <c r="D115" s="49" t="s">
        <v>297</v>
      </c>
      <c r="E115" s="24"/>
      <c r="F115" s="8"/>
      <c r="K115" s="20"/>
    </row>
    <row r="116" spans="1:15" x14ac:dyDescent="0.25">
      <c r="D116" s="49" t="s">
        <v>297</v>
      </c>
      <c r="E116" s="24"/>
      <c r="F116" s="8"/>
      <c r="K116" s="20"/>
    </row>
    <row r="117" spans="1:15" ht="15" customHeight="1" x14ac:dyDescent="0.25">
      <c r="A117" s="2" t="s">
        <v>520</v>
      </c>
      <c r="B117" s="2"/>
      <c r="C117" s="3" t="s">
        <v>392</v>
      </c>
      <c r="D117" s="23" t="s">
        <v>515</v>
      </c>
      <c r="E117" s="25" t="s">
        <v>522</v>
      </c>
      <c r="F117" s="62" t="s">
        <v>133</v>
      </c>
      <c r="G117" s="3" t="s">
        <v>244</v>
      </c>
      <c r="H117" s="3" t="s">
        <v>246</v>
      </c>
      <c r="I117" s="6"/>
      <c r="J117" s="6"/>
      <c r="K117" s="6"/>
    </row>
    <row r="118" spans="1:15" x14ac:dyDescent="0.25">
      <c r="B118" s="107" t="s">
        <v>109</v>
      </c>
      <c r="C118" s="76" t="str">
        <f>VLOOKUP(B118,HWHtrTbl,2,FALSE)</f>
        <v>&lt;----  &lt;----  &lt;----</v>
      </c>
      <c r="D118" s="160" t="str">
        <f>IF(RIGHT(C118,1)="-","-",IF(RIGHT(C118,2)="EF",IF(LEFT(B118,3)="Gas",0.6201,0.9001),IF(RIGHT(C118,6)="Btu/hr",IF(LEFT(B118,3)="Gas","80% Et, 900 SL",260.0001),80.01%)))</f>
        <v>-</v>
      </c>
      <c r="E118" s="111">
        <v>0.99999899999999997</v>
      </c>
      <c r="F118" s="68" t="str">
        <f>IF(OR(RIGHT(C118,2)="EF",RIGHT(C118,2)="Et"),D118/C118-1,"-")</f>
        <v>-</v>
      </c>
      <c r="G118" s="126"/>
      <c r="H118" s="124"/>
      <c r="I118" t="s">
        <v>109</v>
      </c>
      <c r="J118">
        <v>0.62009999999999998</v>
      </c>
      <c r="K118" s="19">
        <v>0.99999899999999997</v>
      </c>
      <c r="L118">
        <v>0.90010000000000001</v>
      </c>
      <c r="M118" s="53">
        <v>0.80010000000000003</v>
      </c>
      <c r="N118">
        <v>260.00009999999997</v>
      </c>
      <c r="O118" t="s">
        <v>77</v>
      </c>
    </row>
    <row r="119" spans="1:15" x14ac:dyDescent="0.25">
      <c r="B119" s="126" t="s">
        <v>110</v>
      </c>
      <c r="C119" s="76" t="str">
        <f>VLOOKUP(B119,HWHtrTbl,2,FALSE)</f>
        <v>&lt;----  &lt;----  &lt;----</v>
      </c>
      <c r="D119" s="160" t="str">
        <f>IF(RIGHT(C119,1)="-","-",IF(RIGHT(C119,2)="EF",IF(LEFT(B119,3)="Gas",0.6201,0.9001),IF(RIGHT(C119,6)="Btu/hr",IF(LEFT(B119,3)="Gas","80% Et, 900 SL",260.0001),80.01%)))</f>
        <v>-</v>
      </c>
      <c r="E119" s="111" t="str">
        <f>IF(B119=I119,"-",0.0001%)</f>
        <v>-</v>
      </c>
      <c r="F119" s="68" t="str">
        <f>IF(OR(RIGHT(C119,2)="EF",RIGHT(C119,2)="Et"),D119/C119-1,"-")</f>
        <v>-</v>
      </c>
      <c r="G119" s="126"/>
      <c r="H119" s="124"/>
      <c r="I119" t="s">
        <v>110</v>
      </c>
      <c r="J119">
        <v>0.62009999999999998</v>
      </c>
      <c r="K119" s="57">
        <v>9.9999999999999995E-7</v>
      </c>
      <c r="L119">
        <v>0.90010000000000001</v>
      </c>
      <c r="M119" s="53">
        <v>0.80010000000000003</v>
      </c>
      <c r="N119">
        <v>260.00009999999997</v>
      </c>
      <c r="O119" t="s">
        <v>77</v>
      </c>
    </row>
    <row r="120" spans="1:15" x14ac:dyDescent="0.25">
      <c r="B120" s="126" t="s">
        <v>111</v>
      </c>
      <c r="C120" s="76" t="str">
        <f>VLOOKUP(B120,HWHtrTbl,2,FALSE)</f>
        <v>&lt;----  &lt;----  &lt;----</v>
      </c>
      <c r="D120" s="160" t="str">
        <f>IF(RIGHT(C120,1)="-","-",IF(RIGHT(C120,2)="EF",IF(LEFT(B120,3)="Gas",0.6201,0.9001),IF(RIGHT(C120,6)="Btu/hr",IF(LEFT(B120,3)="Gas","80% Et, 900 SL",260.0001),80.01%)))</f>
        <v>-</v>
      </c>
      <c r="E120" s="111" t="str">
        <f>IF(B120=I120,"-",0.0001%)</f>
        <v>-</v>
      </c>
      <c r="F120" s="68" t="str">
        <f>IF(OR(RIGHT(C120,2)="EF",RIGHT(C120,2)="Et"),D120/C120-1,"-")</f>
        <v>-</v>
      </c>
      <c r="G120" s="126"/>
      <c r="H120" s="124"/>
      <c r="I120" t="s">
        <v>111</v>
      </c>
      <c r="J120">
        <v>0.62009999999999998</v>
      </c>
      <c r="K120" s="57">
        <v>9.9999999999999995E-7</v>
      </c>
      <c r="L120">
        <v>0.90010000000000001</v>
      </c>
      <c r="M120" s="53">
        <v>0.80010000000000003</v>
      </c>
      <c r="N120">
        <v>260.00009999999997</v>
      </c>
      <c r="O120" t="s">
        <v>77</v>
      </c>
    </row>
    <row r="121" spans="1:15" x14ac:dyDescent="0.25">
      <c r="A121" s="65" t="s">
        <v>112</v>
      </c>
      <c r="C121" s="67"/>
      <c r="D121" s="117"/>
      <c r="E121" s="155"/>
      <c r="F121" s="49"/>
      <c r="G121" s="134"/>
      <c r="H121" s="134"/>
      <c r="I121" s="67"/>
      <c r="J121" s="67"/>
      <c r="K121" s="20"/>
    </row>
    <row r="122" spans="1:15" x14ac:dyDescent="0.25">
      <c r="A122" s="30"/>
      <c r="B122" s="54" t="s">
        <v>164</v>
      </c>
      <c r="C122" s="156" t="s">
        <v>297</v>
      </c>
      <c r="D122" s="118" t="s">
        <v>297</v>
      </c>
      <c r="E122" s="113" t="str">
        <f>IF(LEN(G122)&gt;0,K122,"-")</f>
        <v>-</v>
      </c>
      <c r="F122" s="161" t="str">
        <f>IF(D122="-","-","Enter Manually")</f>
        <v>-</v>
      </c>
      <c r="G122" s="128"/>
      <c r="H122" s="128"/>
      <c r="I122" t="s">
        <v>164</v>
      </c>
      <c r="J122" s="53"/>
      <c r="K122" s="57">
        <v>9.9999999999999995E-7</v>
      </c>
    </row>
    <row r="123" spans="1:15" x14ac:dyDescent="0.25">
      <c r="A123" s="30"/>
      <c r="B123" s="54" t="s">
        <v>165</v>
      </c>
      <c r="C123" s="156" t="s">
        <v>297</v>
      </c>
      <c r="D123" s="118" t="s">
        <v>297</v>
      </c>
      <c r="E123" s="113" t="str">
        <f>IF(LEN(G123)&gt;0,K123,"-")</f>
        <v>-</v>
      </c>
      <c r="F123" s="161" t="str">
        <f>IF(D123="-","-","Enter Manually")</f>
        <v>-</v>
      </c>
      <c r="G123" s="128"/>
      <c r="H123" s="128"/>
      <c r="I123" t="s">
        <v>165</v>
      </c>
      <c r="J123" s="53"/>
      <c r="K123" s="57">
        <v>9.9999999999999995E-7</v>
      </c>
    </row>
    <row r="124" spans="1:15" x14ac:dyDescent="0.25">
      <c r="A124" s="30"/>
      <c r="B124" s="54" t="s">
        <v>166</v>
      </c>
      <c r="C124" s="156" t="s">
        <v>297</v>
      </c>
      <c r="D124" s="118" t="s">
        <v>297</v>
      </c>
      <c r="E124" s="113" t="str">
        <f>IF(LEN(G124)&gt;0,K124,"-")</f>
        <v>-</v>
      </c>
      <c r="F124" s="161" t="str">
        <f>IF(D124="-","-","Enter Manually")</f>
        <v>-</v>
      </c>
      <c r="G124" s="128"/>
      <c r="H124" s="128"/>
      <c r="I124" t="s">
        <v>166</v>
      </c>
      <c r="J124" s="53"/>
      <c r="K124" s="57">
        <v>9.9999999999999995E-7</v>
      </c>
    </row>
    <row r="125" spans="1:15" x14ac:dyDescent="0.25">
      <c r="A125" s="43"/>
      <c r="B125" s="79" t="s">
        <v>167</v>
      </c>
      <c r="C125" s="157" t="s">
        <v>297</v>
      </c>
      <c r="D125" s="158" t="s">
        <v>297</v>
      </c>
      <c r="E125" s="159" t="str">
        <f>IF(LEN(G125)&gt;0,K125,"-")</f>
        <v>-</v>
      </c>
      <c r="F125" s="162" t="str">
        <f>IF(D125="-","-","Enter Manually")</f>
        <v>-</v>
      </c>
      <c r="G125" s="135"/>
      <c r="H125" s="135"/>
      <c r="I125" s="43" t="s">
        <v>167</v>
      </c>
      <c r="K125" s="57">
        <v>9.9999999999999995E-7</v>
      </c>
    </row>
    <row r="126" spans="1:15" x14ac:dyDescent="0.25">
      <c r="D126" s="1"/>
      <c r="E126" s="78"/>
      <c r="F126" s="8"/>
      <c r="K126" s="20"/>
    </row>
    <row r="127" spans="1:15" x14ac:dyDescent="0.25">
      <c r="D127" s="1"/>
      <c r="E127" s="78"/>
      <c r="F127" s="8"/>
      <c r="K127" s="20"/>
    </row>
    <row r="128" spans="1:15" x14ac:dyDescent="0.25">
      <c r="A128" s="2" t="s">
        <v>113</v>
      </c>
      <c r="B128" s="2"/>
      <c r="C128" s="2"/>
      <c r="D128" s="2"/>
      <c r="E128" s="25" t="s">
        <v>522</v>
      </c>
      <c r="F128" s="2"/>
      <c r="G128" s="3" t="s">
        <v>244</v>
      </c>
      <c r="H128" s="3" t="s">
        <v>246</v>
      </c>
      <c r="I128" s="2" t="s">
        <v>517</v>
      </c>
      <c r="K128" s="20"/>
    </row>
    <row r="129" spans="1:11" x14ac:dyDescent="0.25">
      <c r="B129" s="124" t="s">
        <v>116</v>
      </c>
      <c r="C129" s="76" t="str">
        <f>VLOOKUP(B129,RenewablesTbl,2,FALSE)</f>
        <v>&lt;----  &lt;----  &lt;----</v>
      </c>
      <c r="D129" s="140" t="s">
        <v>297</v>
      </c>
      <c r="E129" s="111" t="str">
        <f>IF(B129=I129,"-",K129)</f>
        <v>-</v>
      </c>
      <c r="F129" s="140" t="s">
        <v>297</v>
      </c>
      <c r="G129" s="124"/>
      <c r="H129" s="124"/>
      <c r="I129" t="s">
        <v>116</v>
      </c>
      <c r="K129" s="57">
        <v>2.0001000000000001E-2</v>
      </c>
    </row>
    <row r="130" spans="1:11" x14ac:dyDescent="0.25">
      <c r="B130" s="124" t="s">
        <v>117</v>
      </c>
      <c r="C130" s="76" t="str">
        <f>VLOOKUP(B130,RenewablesTbl,2,FALSE)</f>
        <v>&lt;----  &lt;----  &lt;----</v>
      </c>
      <c r="D130" s="140" t="s">
        <v>297</v>
      </c>
      <c r="E130" s="111" t="str">
        <f>IF(B130=I130,"-",K130)</f>
        <v>-</v>
      </c>
      <c r="F130" s="140" t="s">
        <v>297</v>
      </c>
      <c r="G130" s="124"/>
      <c r="H130" s="124"/>
      <c r="I130" t="s">
        <v>117</v>
      </c>
      <c r="K130" s="57">
        <v>2.0001000000000001E-2</v>
      </c>
    </row>
    <row r="131" spans="1:11" x14ac:dyDescent="0.25">
      <c r="B131" s="124" t="s">
        <v>118</v>
      </c>
      <c r="C131" s="76" t="str">
        <f>VLOOKUP(B131,RenewablesTbl,2,FALSE)</f>
        <v>&lt;----  &lt;----  &lt;----</v>
      </c>
      <c r="D131" s="140" t="s">
        <v>297</v>
      </c>
      <c r="E131" s="111" t="str">
        <f>IF(B131=I131,"-",K131)</f>
        <v>-</v>
      </c>
      <c r="F131" s="140" t="s">
        <v>297</v>
      </c>
      <c r="G131" s="124"/>
      <c r="H131" s="124"/>
      <c r="I131" t="s">
        <v>118</v>
      </c>
      <c r="K131" s="57">
        <v>2.0001000000000001E-2</v>
      </c>
    </row>
    <row r="132" spans="1:11" x14ac:dyDescent="0.25">
      <c r="A132" s="43"/>
      <c r="B132" s="130" t="s">
        <v>119</v>
      </c>
      <c r="C132" s="81" t="str">
        <f>VLOOKUP(B132,RenewablesTbl,2,FALSE)</f>
        <v>&lt;----  &lt;----  &lt;----</v>
      </c>
      <c r="D132" s="141" t="s">
        <v>297</v>
      </c>
      <c r="E132" s="123" t="str">
        <f>IF(B132=I132,"-",K132)</f>
        <v>-</v>
      </c>
      <c r="F132" s="141" t="s">
        <v>297</v>
      </c>
      <c r="G132" s="130"/>
      <c r="H132" s="130"/>
      <c r="I132" s="43" t="s">
        <v>119</v>
      </c>
      <c r="K132" s="57">
        <v>2.0001000000000001E-2</v>
      </c>
    </row>
    <row r="133" spans="1:11" x14ac:dyDescent="0.25">
      <c r="D133" s="1"/>
      <c r="E133" s="78"/>
      <c r="F133" s="8"/>
      <c r="K133" s="57">
        <v>2.0001000000000001E-2</v>
      </c>
    </row>
    <row r="134" spans="1:11" x14ac:dyDescent="0.25">
      <c r="D134" s="1"/>
      <c r="E134" s="78"/>
      <c r="F134" s="8"/>
      <c r="K134" s="57"/>
    </row>
    <row r="135" spans="1:11" x14ac:dyDescent="0.25">
      <c r="A135" s="2" t="s">
        <v>125</v>
      </c>
      <c r="B135" s="2"/>
      <c r="C135" s="2"/>
      <c r="D135" s="2"/>
      <c r="E135" s="25" t="s">
        <v>522</v>
      </c>
      <c r="F135" s="2"/>
      <c r="G135" s="3" t="s">
        <v>244</v>
      </c>
      <c r="H135" s="3" t="s">
        <v>246</v>
      </c>
      <c r="I135" s="2" t="s">
        <v>517</v>
      </c>
      <c r="K135" s="20"/>
    </row>
    <row r="136" spans="1:11" x14ac:dyDescent="0.25">
      <c r="B136" s="47" t="s">
        <v>164</v>
      </c>
      <c r="C136" s="140" t="s">
        <v>297</v>
      </c>
      <c r="D136" s="140" t="s">
        <v>297</v>
      </c>
      <c r="E136" s="111" t="s">
        <v>297</v>
      </c>
      <c r="F136" s="140" t="s">
        <v>297</v>
      </c>
      <c r="G136" s="124"/>
      <c r="H136" s="124"/>
      <c r="I136" t="s">
        <v>116</v>
      </c>
      <c r="K136" s="57">
        <v>2.0001000000000001E-2</v>
      </c>
    </row>
    <row r="137" spans="1:11" x14ac:dyDescent="0.25">
      <c r="B137" s="47" t="s">
        <v>165</v>
      </c>
      <c r="C137" s="140" t="s">
        <v>297</v>
      </c>
      <c r="D137" s="140" t="s">
        <v>297</v>
      </c>
      <c r="E137" s="111" t="s">
        <v>297</v>
      </c>
      <c r="F137" s="140" t="s">
        <v>297</v>
      </c>
      <c r="G137" s="124"/>
      <c r="H137" s="124"/>
      <c r="I137" t="s">
        <v>117</v>
      </c>
      <c r="K137" s="57">
        <v>2.0001000000000001E-2</v>
      </c>
    </row>
    <row r="138" spans="1:11" x14ac:dyDescent="0.25">
      <c r="B138" s="47" t="s">
        <v>166</v>
      </c>
      <c r="C138" s="140" t="s">
        <v>297</v>
      </c>
      <c r="D138" s="140" t="s">
        <v>297</v>
      </c>
      <c r="E138" s="111" t="s">
        <v>297</v>
      </c>
      <c r="F138" s="140" t="s">
        <v>297</v>
      </c>
      <c r="G138" s="124"/>
      <c r="H138" s="124"/>
      <c r="I138" t="s">
        <v>118</v>
      </c>
      <c r="K138" s="57">
        <v>2.0001000000000001E-2</v>
      </c>
    </row>
    <row r="139" spans="1:11" x14ac:dyDescent="0.25">
      <c r="A139" s="43"/>
      <c r="B139" s="37" t="s">
        <v>167</v>
      </c>
      <c r="C139" s="141" t="s">
        <v>297</v>
      </c>
      <c r="D139" s="141" t="s">
        <v>297</v>
      </c>
      <c r="E139" s="123" t="s">
        <v>297</v>
      </c>
      <c r="F139" s="141" t="s">
        <v>297</v>
      </c>
      <c r="G139" s="130"/>
      <c r="H139" s="130"/>
      <c r="I139" s="43" t="s">
        <v>119</v>
      </c>
      <c r="K139" s="57">
        <v>2.0001000000000001E-2</v>
      </c>
    </row>
    <row r="140" spans="1:11" x14ac:dyDescent="0.25">
      <c r="D140" s="1"/>
      <c r="E140" s="78"/>
      <c r="F140" s="8"/>
      <c r="K140" s="57">
        <v>2.0001000000000001E-2</v>
      </c>
    </row>
    <row r="141" spans="1:11" x14ac:dyDescent="0.25">
      <c r="A141" s="9" t="s">
        <v>4</v>
      </c>
      <c r="D141" s="1"/>
      <c r="E141" s="78"/>
      <c r="F141" s="8"/>
      <c r="K141" s="57"/>
    </row>
    <row r="142" spans="1:11" x14ac:dyDescent="0.25">
      <c r="D142" s="1"/>
      <c r="E142" s="78"/>
      <c r="F142" s="1"/>
      <c r="K142" s="20"/>
    </row>
    <row r="143" spans="1:11" x14ac:dyDescent="0.25">
      <c r="D143" s="1"/>
      <c r="E143" s="1"/>
      <c r="F143" s="1"/>
      <c r="K143" s="20"/>
    </row>
    <row r="144" spans="1:11" x14ac:dyDescent="0.25">
      <c r="D144" s="1"/>
      <c r="E144" s="1"/>
      <c r="F144" s="1"/>
      <c r="K144" s="20"/>
    </row>
    <row r="145" spans="4:11" x14ac:dyDescent="0.25">
      <c r="D145" s="1"/>
      <c r="E145" s="1"/>
      <c r="F145" s="1"/>
      <c r="K145" s="20"/>
    </row>
    <row r="146" spans="4:11" x14ac:dyDescent="0.25">
      <c r="D146" s="1"/>
      <c r="E146" s="1"/>
      <c r="F146" s="1"/>
      <c r="K146" s="20"/>
    </row>
    <row r="147" spans="4:11" x14ac:dyDescent="0.25">
      <c r="D147" s="1"/>
      <c r="E147" s="1"/>
      <c r="F147" s="1"/>
      <c r="K147" s="20"/>
    </row>
    <row r="148" spans="4:11" x14ac:dyDescent="0.25">
      <c r="D148" s="1"/>
      <c r="E148" s="1"/>
      <c r="F148" s="1"/>
      <c r="K148" s="20"/>
    </row>
    <row r="149" spans="4:11" x14ac:dyDescent="0.25">
      <c r="D149" s="1"/>
      <c r="E149" s="1"/>
      <c r="F149" s="1"/>
      <c r="K149" s="20"/>
    </row>
    <row r="150" spans="4:11" x14ac:dyDescent="0.25">
      <c r="D150" s="1"/>
      <c r="E150" s="1"/>
      <c r="F150" s="1"/>
      <c r="K150" s="20"/>
    </row>
    <row r="151" spans="4:11" x14ac:dyDescent="0.25">
      <c r="D151" s="1"/>
      <c r="E151" s="1"/>
      <c r="F151" s="1"/>
      <c r="K151" s="20"/>
    </row>
    <row r="152" spans="4:11" x14ac:dyDescent="0.25">
      <c r="D152" s="1"/>
      <c r="E152" s="1"/>
      <c r="F152" s="1"/>
      <c r="K152" s="20"/>
    </row>
    <row r="153" spans="4:11" x14ac:dyDescent="0.25">
      <c r="D153" s="1"/>
      <c r="E153" s="1"/>
      <c r="F153" s="1"/>
      <c r="K153" s="20"/>
    </row>
    <row r="154" spans="4:11" x14ac:dyDescent="0.25">
      <c r="D154" s="1"/>
      <c r="E154" s="1"/>
      <c r="F154" s="1"/>
    </row>
  </sheetData>
  <sheetProtection password="9059" sheet="1" objects="1" scenarios="1"/>
  <phoneticPr fontId="19" type="noConversion"/>
  <conditionalFormatting sqref="B22 B2:B8">
    <cfRule type="cellIs" dxfId="324" priority="0" stopIfTrue="1" operator="equal">
      <formula>Defaultchoice</formula>
    </cfRule>
  </conditionalFormatting>
  <conditionalFormatting sqref="B26">
    <cfRule type="cellIs" dxfId="323" priority="1" stopIfTrue="1" operator="equal">
      <formula>$I26</formula>
    </cfRule>
  </conditionalFormatting>
  <conditionalFormatting sqref="B56">
    <cfRule type="cellIs" dxfId="322" priority="2" stopIfTrue="1" operator="equal">
      <formula>$I56</formula>
    </cfRule>
  </conditionalFormatting>
  <conditionalFormatting sqref="B59">
    <cfRule type="cellIs" dxfId="321" priority="3" stopIfTrue="1" operator="equal">
      <formula>$I59</formula>
    </cfRule>
  </conditionalFormatting>
  <conditionalFormatting sqref="D22">
    <cfRule type="cellIs" dxfId="320" priority="4" stopIfTrue="1" operator="equal">
      <formula>$J22</formula>
    </cfRule>
  </conditionalFormatting>
  <conditionalFormatting sqref="D26">
    <cfRule type="cellIs" dxfId="319" priority="5" stopIfTrue="1" operator="equal">
      <formula>$J26</formula>
    </cfRule>
  </conditionalFormatting>
  <conditionalFormatting sqref="D38">
    <cfRule type="cellIs" dxfId="318" priority="6" stopIfTrue="1" operator="equal">
      <formula>$I39</formula>
    </cfRule>
  </conditionalFormatting>
  <conditionalFormatting sqref="D38:D41">
    <cfRule type="cellIs" dxfId="317" priority="7" stopIfTrue="1" operator="equal">
      <formula>$J38</formula>
    </cfRule>
  </conditionalFormatting>
  <conditionalFormatting sqref="D34:D37">
    <cfRule type="cellIs" dxfId="316" priority="8" stopIfTrue="1" operator="equal">
      <formula>$J34</formula>
    </cfRule>
  </conditionalFormatting>
  <conditionalFormatting sqref="E22 E73">
    <cfRule type="cellIs" dxfId="315" priority="9" stopIfTrue="1" operator="equal">
      <formula>K22</formula>
    </cfRule>
  </conditionalFormatting>
  <conditionalFormatting sqref="E26">
    <cfRule type="cellIs" dxfId="314" priority="10" stopIfTrue="1" operator="equal">
      <formula>K26</formula>
    </cfRule>
  </conditionalFormatting>
  <conditionalFormatting sqref="E38">
    <cfRule type="cellIs" dxfId="313" priority="11" stopIfTrue="1" operator="equal">
      <formula>K38</formula>
    </cfRule>
  </conditionalFormatting>
  <conditionalFormatting sqref="E40">
    <cfRule type="cellIs" dxfId="312" priority="12" stopIfTrue="1" operator="equal">
      <formula>K40</formula>
    </cfRule>
  </conditionalFormatting>
  <conditionalFormatting sqref="E40">
    <cfRule type="cellIs" dxfId="311" priority="13" stopIfTrue="1" operator="equal">
      <formula>K40</formula>
    </cfRule>
  </conditionalFormatting>
  <conditionalFormatting sqref="E40">
    <cfRule type="cellIs" dxfId="310" priority="14" stopIfTrue="1" operator="equal">
      <formula>K40</formula>
    </cfRule>
  </conditionalFormatting>
  <conditionalFormatting sqref="E56">
    <cfRule type="cellIs" dxfId="309" priority="15" stopIfTrue="1" operator="equal">
      <formula>K56</formula>
    </cfRule>
  </conditionalFormatting>
  <conditionalFormatting sqref="B39">
    <cfRule type="cellIs" dxfId="308" priority="16" stopIfTrue="1" operator="equal">
      <formula>$I39</formula>
    </cfRule>
  </conditionalFormatting>
  <conditionalFormatting sqref="B41">
    <cfRule type="cellIs" dxfId="307" priority="17" stopIfTrue="1" operator="equal">
      <formula>$I41</formula>
    </cfRule>
  </conditionalFormatting>
  <conditionalFormatting sqref="E30">
    <cfRule type="cellIs" dxfId="306" priority="18" stopIfTrue="1" operator="equal">
      <formula>K30</formula>
    </cfRule>
  </conditionalFormatting>
  <conditionalFormatting sqref="B30">
    <cfRule type="cellIs" dxfId="305" priority="19" stopIfTrue="1" operator="equal">
      <formula>I30</formula>
    </cfRule>
  </conditionalFormatting>
  <conditionalFormatting sqref="G26">
    <cfRule type="cellIs" dxfId="304" priority="20" stopIfTrue="1" operator="equal">
      <formula>M26</formula>
    </cfRule>
  </conditionalFormatting>
  <conditionalFormatting sqref="D27:D29">
    <cfRule type="cellIs" dxfId="303" priority="21" stopIfTrue="1" operator="equal">
      <formula>$J27</formula>
    </cfRule>
  </conditionalFormatting>
  <conditionalFormatting sqref="D23:D25">
    <cfRule type="cellIs" dxfId="302" priority="22" stopIfTrue="1" operator="equal">
      <formula>$J23</formula>
    </cfRule>
  </conditionalFormatting>
  <conditionalFormatting sqref="E23:E25">
    <cfRule type="cellIs" dxfId="301" priority="23" stopIfTrue="1" operator="equal">
      <formula>K23</formula>
    </cfRule>
  </conditionalFormatting>
  <conditionalFormatting sqref="D27:D29">
    <cfRule type="cellIs" dxfId="300" priority="24" stopIfTrue="1" operator="equal">
      <formula>$J27</formula>
    </cfRule>
  </conditionalFormatting>
  <conditionalFormatting sqref="E27:E29">
    <cfRule type="cellIs" dxfId="299" priority="25" stopIfTrue="1" operator="equal">
      <formula>K27</formula>
    </cfRule>
  </conditionalFormatting>
  <conditionalFormatting sqref="E42">
    <cfRule type="cellIs" dxfId="298" priority="26" stopIfTrue="1" operator="equal">
      <formula>"k28"</formula>
    </cfRule>
    <cfRule type="cellIs" dxfId="297" priority="26" stopIfTrue="1" operator="equal">
      <formula>$K42</formula>
    </cfRule>
  </conditionalFormatting>
  <conditionalFormatting sqref="E46">
    <cfRule type="cellIs" dxfId="296" priority="27" stopIfTrue="1" operator="equal">
      <formula>$K46</formula>
    </cfRule>
  </conditionalFormatting>
  <conditionalFormatting sqref="E44">
    <cfRule type="cellIs" dxfId="295" priority="28" stopIfTrue="1" operator="equal">
      <formula>$K$44</formula>
    </cfRule>
  </conditionalFormatting>
  <conditionalFormatting sqref="E114 E125 E104 E47:E48 E52">
    <cfRule type="cellIs" dxfId="294" priority="29" stopIfTrue="1" operator="equal">
      <formula>$K$47</formula>
    </cfRule>
  </conditionalFormatting>
  <conditionalFormatting sqref="E59">
    <cfRule type="cellIs" dxfId="293" priority="30" stopIfTrue="1" operator="equal">
      <formula>K59</formula>
    </cfRule>
  </conditionalFormatting>
  <conditionalFormatting sqref="E59">
    <cfRule type="cellIs" dxfId="292" priority="31" stopIfTrue="1" operator="equal">
      <formula>K59</formula>
    </cfRule>
  </conditionalFormatting>
  <conditionalFormatting sqref="E59">
    <cfRule type="cellIs" dxfId="291" priority="32" stopIfTrue="1" operator="equal">
      <formula>K59</formula>
    </cfRule>
  </conditionalFormatting>
  <conditionalFormatting sqref="B60">
    <cfRule type="cellIs" dxfId="290" priority="33" stopIfTrue="1" operator="equal">
      <formula>$I60</formula>
    </cfRule>
  </conditionalFormatting>
  <conditionalFormatting sqref="E60">
    <cfRule type="cellIs" dxfId="289" priority="34" stopIfTrue="1" operator="equal">
      <formula>K60</formula>
    </cfRule>
  </conditionalFormatting>
  <conditionalFormatting sqref="E60">
    <cfRule type="cellIs" dxfId="288" priority="35" stopIfTrue="1" operator="equal">
      <formula>K60</formula>
    </cfRule>
  </conditionalFormatting>
  <conditionalFormatting sqref="E60">
    <cfRule type="cellIs" dxfId="287" priority="36" stopIfTrue="1" operator="equal">
      <formula>K60</formula>
    </cfRule>
  </conditionalFormatting>
  <conditionalFormatting sqref="E60">
    <cfRule type="cellIs" dxfId="286" priority="37" stopIfTrue="1" operator="equal">
      <formula>K60</formula>
    </cfRule>
  </conditionalFormatting>
  <conditionalFormatting sqref="E60">
    <cfRule type="cellIs" dxfId="285" priority="38" stopIfTrue="1" operator="equal">
      <formula>K60</formula>
    </cfRule>
  </conditionalFormatting>
  <conditionalFormatting sqref="E60">
    <cfRule type="cellIs" dxfId="284" priority="39" stopIfTrue="1" operator="equal">
      <formula>K60</formula>
    </cfRule>
  </conditionalFormatting>
  <conditionalFormatting sqref="E61">
    <cfRule type="cellIs" dxfId="283" priority="40" stopIfTrue="1" operator="equal">
      <formula>K61</formula>
    </cfRule>
  </conditionalFormatting>
  <conditionalFormatting sqref="E61">
    <cfRule type="cellIs" dxfId="282" priority="41" stopIfTrue="1" operator="equal">
      <formula>K61</formula>
    </cfRule>
  </conditionalFormatting>
  <conditionalFormatting sqref="E61">
    <cfRule type="cellIs" dxfId="281" priority="42" stopIfTrue="1" operator="equal">
      <formula>K61</formula>
    </cfRule>
  </conditionalFormatting>
  <conditionalFormatting sqref="E62">
    <cfRule type="cellIs" dxfId="280" priority="43" stopIfTrue="1" operator="equal">
      <formula>K62</formula>
    </cfRule>
  </conditionalFormatting>
  <conditionalFormatting sqref="E62">
    <cfRule type="cellIs" dxfId="279" priority="44" stopIfTrue="1" operator="equal">
      <formula>K62</formula>
    </cfRule>
  </conditionalFormatting>
  <conditionalFormatting sqref="E62">
    <cfRule type="cellIs" dxfId="278" priority="45" stopIfTrue="1" operator="equal">
      <formula>K62</formula>
    </cfRule>
  </conditionalFormatting>
  <conditionalFormatting sqref="E62">
    <cfRule type="cellIs" dxfId="277" priority="46" stopIfTrue="1" operator="equal">
      <formula>K62</formula>
    </cfRule>
  </conditionalFormatting>
  <conditionalFormatting sqref="E62">
    <cfRule type="cellIs" dxfId="276" priority="47" stopIfTrue="1" operator="equal">
      <formula>K62</formula>
    </cfRule>
  </conditionalFormatting>
  <conditionalFormatting sqref="E62">
    <cfRule type="cellIs" dxfId="275" priority="48" stopIfTrue="1" operator="equal">
      <formula>K62</formula>
    </cfRule>
  </conditionalFormatting>
  <conditionalFormatting sqref="D57">
    <cfRule type="cellIs" dxfId="274" priority="49" stopIfTrue="1" operator="equal">
      <formula>$J57</formula>
    </cfRule>
  </conditionalFormatting>
  <conditionalFormatting sqref="D58">
    <cfRule type="cellIs" dxfId="273" priority="50" stopIfTrue="1" operator="equal">
      <formula>$J58</formula>
    </cfRule>
  </conditionalFormatting>
  <conditionalFormatting sqref="D56">
    <cfRule type="cellIs" dxfId="272" priority="51" stopIfTrue="1" operator="equal">
      <formula>$J56</formula>
    </cfRule>
  </conditionalFormatting>
  <conditionalFormatting sqref="E57:E58">
    <cfRule type="cellIs" dxfId="271" priority="52" stopIfTrue="1" operator="equal">
      <formula>K57</formula>
    </cfRule>
  </conditionalFormatting>
  <conditionalFormatting sqref="E57:E58">
    <cfRule type="cellIs" dxfId="270" priority="53" stopIfTrue="1" operator="equal">
      <formula>K57</formula>
    </cfRule>
  </conditionalFormatting>
  <conditionalFormatting sqref="E57:E58">
    <cfRule type="cellIs" dxfId="269" priority="54" stopIfTrue="1" operator="equal">
      <formula>K57</formula>
    </cfRule>
  </conditionalFormatting>
  <conditionalFormatting sqref="E35:E36">
    <cfRule type="cellIs" dxfId="268" priority="55" stopIfTrue="1" operator="equal">
      <formula>$J35</formula>
    </cfRule>
  </conditionalFormatting>
  <conditionalFormatting sqref="E37">
    <cfRule type="cellIs" dxfId="267" priority="56" stopIfTrue="1" operator="equal">
      <formula>$J37</formula>
    </cfRule>
  </conditionalFormatting>
  <conditionalFormatting sqref="E36">
    <cfRule type="cellIs" dxfId="266" priority="57" stopIfTrue="1" operator="equal">
      <formula>$J36</formula>
    </cfRule>
  </conditionalFormatting>
  <conditionalFormatting sqref="E35:E37">
    <cfRule type="cellIs" dxfId="265" priority="58" stopIfTrue="1" operator="equal">
      <formula>K35</formula>
    </cfRule>
  </conditionalFormatting>
  <conditionalFormatting sqref="E35:E37">
    <cfRule type="cellIs" dxfId="264" priority="59" stopIfTrue="1" operator="equal">
      <formula>K35</formula>
    </cfRule>
  </conditionalFormatting>
  <conditionalFormatting sqref="E35:E37">
    <cfRule type="cellIs" dxfId="263" priority="60" stopIfTrue="1" operator="equal">
      <formula>K35</formula>
    </cfRule>
  </conditionalFormatting>
  <conditionalFormatting sqref="C35:C37">
    <cfRule type="cellIs" dxfId="262" priority="61" stopIfTrue="1" operator="equal">
      <formula>$J35</formula>
    </cfRule>
  </conditionalFormatting>
  <conditionalFormatting sqref="D35:D36">
    <cfRule type="cellIs" dxfId="261" priority="62" stopIfTrue="1" operator="equal">
      <formula>$J35</formula>
    </cfRule>
  </conditionalFormatting>
  <conditionalFormatting sqref="D37">
    <cfRule type="cellIs" dxfId="260" priority="63" stopIfTrue="1" operator="equal">
      <formula>$J37</formula>
    </cfRule>
  </conditionalFormatting>
  <conditionalFormatting sqref="D36">
    <cfRule type="cellIs" dxfId="259" priority="64" stopIfTrue="1" operator="equal">
      <formula>$J36</formula>
    </cfRule>
  </conditionalFormatting>
  <conditionalFormatting sqref="D35:D37">
    <cfRule type="cellIs" dxfId="258" priority="65" stopIfTrue="1" operator="equal">
      <formula>J35</formula>
    </cfRule>
  </conditionalFormatting>
  <conditionalFormatting sqref="D35:D37">
    <cfRule type="cellIs" dxfId="257" priority="66" stopIfTrue="1" operator="equal">
      <formula>J35</formula>
    </cfRule>
  </conditionalFormatting>
  <conditionalFormatting sqref="D35:D37">
    <cfRule type="cellIs" dxfId="256" priority="67" stopIfTrue="1" operator="equal">
      <formula>J35</formula>
    </cfRule>
  </conditionalFormatting>
  <conditionalFormatting sqref="E111:E113 E122:E124 E101:E103 E49:E51">
    <cfRule type="cellIs" dxfId="255" priority="68" stopIfTrue="1" operator="equal">
      <formula>$K$49</formula>
    </cfRule>
  </conditionalFormatting>
  <conditionalFormatting sqref="H26">
    <cfRule type="cellIs" dxfId="254" priority="69" stopIfTrue="1" operator="equal">
      <formula>N26</formula>
    </cfRule>
  </conditionalFormatting>
  <conditionalFormatting sqref="B67">
    <cfRule type="cellIs" dxfId="253" priority="70" stopIfTrue="1" operator="equal">
      <formula>$I67</formula>
    </cfRule>
  </conditionalFormatting>
  <conditionalFormatting sqref="E67">
    <cfRule type="cellIs" dxfId="252" priority="71" stopIfTrue="1" operator="equal">
      <formula>K67</formula>
    </cfRule>
  </conditionalFormatting>
  <conditionalFormatting sqref="E77">
    <cfRule type="cellIs" dxfId="251" priority="72" stopIfTrue="1" operator="equal">
      <formula>K77</formula>
    </cfRule>
  </conditionalFormatting>
  <conditionalFormatting sqref="E81">
    <cfRule type="cellIs" dxfId="250" priority="73" stopIfTrue="1" operator="equal">
      <formula>K81</formula>
    </cfRule>
  </conditionalFormatting>
  <conditionalFormatting sqref="E85">
    <cfRule type="cellIs" dxfId="249" priority="74" stopIfTrue="1" operator="equal">
      <formula>K85</formula>
    </cfRule>
  </conditionalFormatting>
  <conditionalFormatting sqref="E89">
    <cfRule type="cellIs" dxfId="248" priority="75" stopIfTrue="1" operator="equal">
      <formula>K89</formula>
    </cfRule>
  </conditionalFormatting>
  <conditionalFormatting sqref="E93">
    <cfRule type="cellIs" dxfId="247" priority="76" stopIfTrue="1" operator="equal">
      <formula>K93</formula>
    </cfRule>
  </conditionalFormatting>
  <conditionalFormatting sqref="E97">
    <cfRule type="cellIs" dxfId="246" priority="77" stopIfTrue="1" operator="equal">
      <formula>K97</formula>
    </cfRule>
  </conditionalFormatting>
  <conditionalFormatting sqref="B77">
    <cfRule type="cellIs" dxfId="245" priority="78" stopIfTrue="1" operator="equal">
      <formula>$I77</formula>
    </cfRule>
  </conditionalFormatting>
  <conditionalFormatting sqref="B81">
    <cfRule type="cellIs" dxfId="244" priority="79" stopIfTrue="1" operator="equal">
      <formula>$I81</formula>
    </cfRule>
  </conditionalFormatting>
  <conditionalFormatting sqref="B89">
    <cfRule type="cellIs" dxfId="243" priority="80" stopIfTrue="1" operator="equal">
      <formula>$I89</formula>
    </cfRule>
  </conditionalFormatting>
  <conditionalFormatting sqref="B93">
    <cfRule type="cellIs" dxfId="242" priority="81" stopIfTrue="1" operator="equal">
      <formula>$I93</formula>
    </cfRule>
  </conditionalFormatting>
  <conditionalFormatting sqref="B97">
    <cfRule type="cellIs" dxfId="241" priority="82" stopIfTrue="1" operator="equal">
      <formula>$I97</formula>
    </cfRule>
  </conditionalFormatting>
  <conditionalFormatting sqref="E71">
    <cfRule type="cellIs" dxfId="240" priority="83" stopIfTrue="1" operator="equal">
      <formula>K71</formula>
    </cfRule>
  </conditionalFormatting>
  <conditionalFormatting sqref="E71">
    <cfRule type="cellIs" dxfId="239" priority="84" stopIfTrue="1" operator="equal">
      <formula>K71</formula>
    </cfRule>
  </conditionalFormatting>
  <conditionalFormatting sqref="E71">
    <cfRule type="cellIs" dxfId="238" priority="85" stopIfTrue="1" operator="equal">
      <formula>K71</formula>
    </cfRule>
  </conditionalFormatting>
  <conditionalFormatting sqref="E31:E33">
    <cfRule type="cellIs" dxfId="237" priority="86" stopIfTrue="1" operator="equal">
      <formula>K31</formula>
    </cfRule>
  </conditionalFormatting>
  <conditionalFormatting sqref="E68:E70">
    <cfRule type="cellIs" dxfId="236" priority="87" stopIfTrue="1" operator="equal">
      <formula>K68</formula>
    </cfRule>
  </conditionalFormatting>
  <conditionalFormatting sqref="E78:E80">
    <cfRule type="cellIs" dxfId="235" priority="88" stopIfTrue="1" operator="equal">
      <formula>K78</formula>
    </cfRule>
  </conditionalFormatting>
  <conditionalFormatting sqref="E78:E80">
    <cfRule type="cellIs" dxfId="234" priority="89" stopIfTrue="1" operator="equal">
      <formula>K78</formula>
    </cfRule>
  </conditionalFormatting>
  <conditionalFormatting sqref="E78:E80">
    <cfRule type="cellIs" dxfId="233" priority="90" stopIfTrue="1" operator="equal">
      <formula>K78</formula>
    </cfRule>
  </conditionalFormatting>
  <conditionalFormatting sqref="E78:E80">
    <cfRule type="cellIs" dxfId="232" priority="91" stopIfTrue="1" operator="equal">
      <formula>K78</formula>
    </cfRule>
  </conditionalFormatting>
  <conditionalFormatting sqref="E82:E84">
    <cfRule type="cellIs" dxfId="231" priority="92" stopIfTrue="1" operator="equal">
      <formula>K82</formula>
    </cfRule>
  </conditionalFormatting>
  <conditionalFormatting sqref="E82:E84">
    <cfRule type="cellIs" dxfId="230" priority="93" stopIfTrue="1" operator="equal">
      <formula>K82</formula>
    </cfRule>
  </conditionalFormatting>
  <conditionalFormatting sqref="E82:E84">
    <cfRule type="cellIs" dxfId="229" priority="94" stopIfTrue="1" operator="equal">
      <formula>K82</formula>
    </cfRule>
  </conditionalFormatting>
  <conditionalFormatting sqref="E82:E84">
    <cfRule type="cellIs" dxfId="228" priority="95" stopIfTrue="1" operator="equal">
      <formula>K82</formula>
    </cfRule>
  </conditionalFormatting>
  <conditionalFormatting sqref="E86:E88">
    <cfRule type="cellIs" dxfId="227" priority="96" stopIfTrue="1" operator="equal">
      <formula>K86</formula>
    </cfRule>
  </conditionalFormatting>
  <conditionalFormatting sqref="E86:E88">
    <cfRule type="cellIs" dxfId="226" priority="97" stopIfTrue="1" operator="equal">
      <formula>K86</formula>
    </cfRule>
  </conditionalFormatting>
  <conditionalFormatting sqref="E86:E88">
    <cfRule type="cellIs" dxfId="225" priority="98" stopIfTrue="1" operator="equal">
      <formula>K86</formula>
    </cfRule>
  </conditionalFormatting>
  <conditionalFormatting sqref="E86:E88">
    <cfRule type="cellIs" dxfId="224" priority="99" stopIfTrue="1" operator="equal">
      <formula>K86</formula>
    </cfRule>
  </conditionalFormatting>
  <conditionalFormatting sqref="E90:E92">
    <cfRule type="cellIs" dxfId="223" priority="100" stopIfTrue="1" operator="equal">
      <formula>K90</formula>
    </cfRule>
  </conditionalFormatting>
  <conditionalFormatting sqref="E90:E92">
    <cfRule type="cellIs" dxfId="222" priority="101" stopIfTrue="1" operator="equal">
      <formula>K90</formula>
    </cfRule>
  </conditionalFormatting>
  <conditionalFormatting sqref="E90:E92">
    <cfRule type="cellIs" dxfId="221" priority="102" stopIfTrue="1" operator="equal">
      <formula>K90</formula>
    </cfRule>
  </conditionalFormatting>
  <conditionalFormatting sqref="E90:E92">
    <cfRule type="cellIs" dxfId="220" priority="103" stopIfTrue="1" operator="equal">
      <formula>K90</formula>
    </cfRule>
  </conditionalFormatting>
  <conditionalFormatting sqref="E94:E96">
    <cfRule type="cellIs" dxfId="219" priority="104" stopIfTrue="1" operator="equal">
      <formula>K94</formula>
    </cfRule>
  </conditionalFormatting>
  <conditionalFormatting sqref="E94:E96">
    <cfRule type="cellIs" dxfId="218" priority="105" stopIfTrue="1" operator="equal">
      <formula>K94</formula>
    </cfRule>
  </conditionalFormatting>
  <conditionalFormatting sqref="E94:E96">
    <cfRule type="cellIs" dxfId="217" priority="106" stopIfTrue="1" operator="equal">
      <formula>K94</formula>
    </cfRule>
  </conditionalFormatting>
  <conditionalFormatting sqref="E94:E96">
    <cfRule type="cellIs" dxfId="216" priority="107" stopIfTrue="1" operator="equal">
      <formula>K94</formula>
    </cfRule>
  </conditionalFormatting>
  <conditionalFormatting sqref="E98:E104">
    <cfRule type="cellIs" dxfId="215" priority="108" stopIfTrue="1" operator="equal">
      <formula>K98</formula>
    </cfRule>
  </conditionalFormatting>
  <conditionalFormatting sqref="E98:E104">
    <cfRule type="cellIs" dxfId="214" priority="109" stopIfTrue="1" operator="equal">
      <formula>K98</formula>
    </cfRule>
  </conditionalFormatting>
  <conditionalFormatting sqref="E98:E104">
    <cfRule type="cellIs" dxfId="213" priority="110" stopIfTrue="1" operator="equal">
      <formula>K98</formula>
    </cfRule>
  </conditionalFormatting>
  <conditionalFormatting sqref="E98:E104">
    <cfRule type="cellIs" dxfId="212" priority="111" stopIfTrue="1" operator="equal">
      <formula>K98</formula>
    </cfRule>
  </conditionalFormatting>
  <conditionalFormatting sqref="D82:D84">
    <cfRule type="cellIs" dxfId="211" priority="112" stopIfTrue="1" operator="equal">
      <formula>J82</formula>
    </cfRule>
  </conditionalFormatting>
  <conditionalFormatting sqref="D82:D84">
    <cfRule type="cellIs" dxfId="210" priority="113" stopIfTrue="1" operator="equal">
      <formula>J82</formula>
    </cfRule>
  </conditionalFormatting>
  <conditionalFormatting sqref="D77">
    <cfRule type="cellIs" dxfId="209" priority="114" stopIfTrue="1" operator="equal">
      <formula>$J77</formula>
    </cfRule>
  </conditionalFormatting>
  <conditionalFormatting sqref="D77">
    <cfRule type="cellIs" dxfId="208" priority="115" stopIfTrue="1" operator="equal">
      <formula>$J77</formula>
    </cfRule>
  </conditionalFormatting>
  <conditionalFormatting sqref="D77">
    <cfRule type="cellIs" dxfId="207" priority="116" stopIfTrue="1" operator="equal">
      <formula>J77</formula>
    </cfRule>
  </conditionalFormatting>
  <conditionalFormatting sqref="D77">
    <cfRule type="cellIs" dxfId="206" priority="117" stopIfTrue="1" operator="equal">
      <formula>J77</formula>
    </cfRule>
  </conditionalFormatting>
  <conditionalFormatting sqref="D77">
    <cfRule type="cellIs" dxfId="205" priority="118" stopIfTrue="1" operator="equal">
      <formula>J77</formula>
    </cfRule>
  </conditionalFormatting>
  <conditionalFormatting sqref="D78:D80">
    <cfRule type="cellIs" dxfId="204" priority="119" stopIfTrue="1" operator="equal">
      <formula>$J78</formula>
    </cfRule>
  </conditionalFormatting>
  <conditionalFormatting sqref="D78:D80">
    <cfRule type="cellIs" dxfId="203" priority="120" stopIfTrue="1" operator="equal">
      <formula>$J78</formula>
    </cfRule>
  </conditionalFormatting>
  <conditionalFormatting sqref="D78:D80">
    <cfRule type="cellIs" dxfId="202" priority="121" stopIfTrue="1" operator="equal">
      <formula>J78</formula>
    </cfRule>
  </conditionalFormatting>
  <conditionalFormatting sqref="D78:D80">
    <cfRule type="cellIs" dxfId="201" priority="122" stopIfTrue="1" operator="equal">
      <formula>J78</formula>
    </cfRule>
  </conditionalFormatting>
  <conditionalFormatting sqref="D78:D80">
    <cfRule type="cellIs" dxfId="200" priority="123" stopIfTrue="1" operator="equal">
      <formula>J78</formula>
    </cfRule>
  </conditionalFormatting>
  <conditionalFormatting sqref="D81:D83 D85:D87">
    <cfRule type="expression" dxfId="199" priority="124" stopIfTrue="1">
      <formula>NOT(ISERROR(SEARCH("hspf",D81)))</formula>
    </cfRule>
  </conditionalFormatting>
  <conditionalFormatting sqref="D81:D83 D85:D87">
    <cfRule type="expression" dxfId="198" priority="125" stopIfTrue="1">
      <formula>NOT(ISERROR(SEARCH("COP",D81)))</formula>
    </cfRule>
  </conditionalFormatting>
  <conditionalFormatting sqref="D81">
    <cfRule type="cellIs" dxfId="197" priority="126" stopIfTrue="1" operator="equal">
      <formula>J81</formula>
    </cfRule>
  </conditionalFormatting>
  <conditionalFormatting sqref="D82:D84">
    <cfRule type="cellIs" dxfId="196" priority="127" stopIfTrue="1" operator="equal">
      <formula>$J82</formula>
    </cfRule>
  </conditionalFormatting>
  <conditionalFormatting sqref="D82:D84">
    <cfRule type="cellIs" dxfId="195" priority="128" stopIfTrue="1" operator="equal">
      <formula>$J82</formula>
    </cfRule>
  </conditionalFormatting>
  <conditionalFormatting sqref="D82:D84">
    <cfRule type="cellIs" dxfId="194" priority="129" stopIfTrue="1" operator="equal">
      <formula>J82</formula>
    </cfRule>
  </conditionalFormatting>
  <conditionalFormatting sqref="D82:D84">
    <cfRule type="cellIs" dxfId="193" priority="130" stopIfTrue="1" operator="equal">
      <formula>J82</formula>
    </cfRule>
  </conditionalFormatting>
  <conditionalFormatting sqref="D82:D84">
    <cfRule type="cellIs" dxfId="192" priority="131" stopIfTrue="1" operator="equal">
      <formula>J82</formula>
    </cfRule>
  </conditionalFormatting>
  <conditionalFormatting sqref="D82:D84">
    <cfRule type="cellIs" dxfId="191" priority="132" stopIfTrue="1" operator="equal">
      <formula>$J82</formula>
    </cfRule>
  </conditionalFormatting>
  <conditionalFormatting sqref="D82:D84">
    <cfRule type="cellIs" dxfId="190" priority="133" stopIfTrue="1" operator="equal">
      <formula>$J82</formula>
    </cfRule>
  </conditionalFormatting>
  <conditionalFormatting sqref="D82:D84">
    <cfRule type="cellIs" dxfId="189" priority="134" stopIfTrue="1" operator="equal">
      <formula>J82</formula>
    </cfRule>
  </conditionalFormatting>
  <conditionalFormatting sqref="D82:D83">
    <cfRule type="cellIs" dxfId="188" priority="135" stopIfTrue="1" operator="equal">
      <formula>$J82</formula>
    </cfRule>
  </conditionalFormatting>
  <conditionalFormatting sqref="D82:D83">
    <cfRule type="cellIs" dxfId="187" priority="136" stopIfTrue="1" operator="equal">
      <formula>$J82</formula>
    </cfRule>
  </conditionalFormatting>
  <conditionalFormatting sqref="D82:D83">
    <cfRule type="cellIs" dxfId="186" priority="137" stopIfTrue="1" operator="equal">
      <formula>J82</formula>
    </cfRule>
  </conditionalFormatting>
  <conditionalFormatting sqref="D82:D83">
    <cfRule type="cellIs" dxfId="185" priority="138" stopIfTrue="1" operator="equal">
      <formula>J82</formula>
    </cfRule>
  </conditionalFormatting>
  <conditionalFormatting sqref="D82:D83">
    <cfRule type="cellIs" dxfId="184" priority="139" stopIfTrue="1" operator="equal">
      <formula>J82</formula>
    </cfRule>
  </conditionalFormatting>
  <conditionalFormatting sqref="D82:D83">
    <cfRule type="cellIs" dxfId="183" priority="140" stopIfTrue="1" operator="equal">
      <formula>J82</formula>
    </cfRule>
  </conditionalFormatting>
  <conditionalFormatting sqref="D82:D83">
    <cfRule type="cellIs" dxfId="182" priority="141" stopIfTrue="1" operator="equal">
      <formula>J82</formula>
    </cfRule>
  </conditionalFormatting>
  <conditionalFormatting sqref="D82:D83">
    <cfRule type="cellIs" dxfId="181" priority="142" stopIfTrue="1" operator="equal">
      <formula>$J82</formula>
    </cfRule>
  </conditionalFormatting>
  <conditionalFormatting sqref="D82:D83">
    <cfRule type="cellIs" dxfId="180" priority="143" stopIfTrue="1" operator="equal">
      <formula>$J82</formula>
    </cfRule>
  </conditionalFormatting>
  <conditionalFormatting sqref="D82:D83">
    <cfRule type="cellIs" dxfId="179" priority="144" stopIfTrue="1" operator="equal">
      <formula>J82</formula>
    </cfRule>
  </conditionalFormatting>
  <conditionalFormatting sqref="D82:D83">
    <cfRule type="cellIs" dxfId="178" priority="145" stopIfTrue="1" operator="equal">
      <formula>J82</formula>
    </cfRule>
  </conditionalFormatting>
  <conditionalFormatting sqref="D82:D83">
    <cfRule type="cellIs" dxfId="177" priority="146" stopIfTrue="1" operator="equal">
      <formula>J82</formula>
    </cfRule>
  </conditionalFormatting>
  <conditionalFormatting sqref="D82:D83">
    <cfRule type="cellIs" dxfId="176" priority="147" stopIfTrue="1" operator="equal">
      <formula>$J82</formula>
    </cfRule>
  </conditionalFormatting>
  <conditionalFormatting sqref="D82:D83">
    <cfRule type="cellIs" dxfId="175" priority="148" stopIfTrue="1" operator="equal">
      <formula>$J82</formula>
    </cfRule>
  </conditionalFormatting>
  <conditionalFormatting sqref="D82:D83">
    <cfRule type="cellIs" dxfId="174" priority="149" stopIfTrue="1" operator="equal">
      <formula>J82</formula>
    </cfRule>
  </conditionalFormatting>
  <conditionalFormatting sqref="D85:D87">
    <cfRule type="cellIs" dxfId="173" priority="150" stopIfTrue="1" operator="equal">
      <formula>J85</formula>
    </cfRule>
  </conditionalFormatting>
  <conditionalFormatting sqref="D85:D87">
    <cfRule type="cellIs" dxfId="172" priority="151" stopIfTrue="1" operator="equal">
      <formula>J85</formula>
    </cfRule>
  </conditionalFormatting>
  <conditionalFormatting sqref="D85:D87">
    <cfRule type="cellIs" dxfId="171" priority="152" stopIfTrue="1" operator="equal">
      <formula>$J85</formula>
    </cfRule>
  </conditionalFormatting>
  <conditionalFormatting sqref="D85:D87">
    <cfRule type="cellIs" dxfId="170" priority="153" stopIfTrue="1" operator="equal">
      <formula>$J85</formula>
    </cfRule>
  </conditionalFormatting>
  <conditionalFormatting sqref="D85:D87">
    <cfRule type="cellIs" dxfId="169" priority="154" stopIfTrue="1" operator="equal">
      <formula>J85</formula>
    </cfRule>
  </conditionalFormatting>
  <conditionalFormatting sqref="D85:D87">
    <cfRule type="cellIs" dxfId="168" priority="155" stopIfTrue="1" operator="equal">
      <formula>J85</formula>
    </cfRule>
  </conditionalFormatting>
  <conditionalFormatting sqref="D85:D87">
    <cfRule type="cellIs" dxfId="167" priority="156" stopIfTrue="1" operator="equal">
      <formula>J85</formula>
    </cfRule>
  </conditionalFormatting>
  <conditionalFormatting sqref="D85:D87">
    <cfRule type="cellIs" dxfId="166" priority="157" stopIfTrue="1" operator="equal">
      <formula>$J85</formula>
    </cfRule>
  </conditionalFormatting>
  <conditionalFormatting sqref="D85:D87">
    <cfRule type="cellIs" dxfId="165" priority="158" stopIfTrue="1" operator="equal">
      <formula>$J85</formula>
    </cfRule>
  </conditionalFormatting>
  <conditionalFormatting sqref="D85:D87">
    <cfRule type="cellIs" dxfId="164" priority="159" stopIfTrue="1" operator="equal">
      <formula>J85</formula>
    </cfRule>
  </conditionalFormatting>
  <conditionalFormatting sqref="D85:D87">
    <cfRule type="cellIs" dxfId="163" priority="160" stopIfTrue="1" operator="equal">
      <formula>$J85</formula>
    </cfRule>
  </conditionalFormatting>
  <conditionalFormatting sqref="D85:D87">
    <cfRule type="cellIs" dxfId="162" priority="161" stopIfTrue="1" operator="equal">
      <formula>$J85</formula>
    </cfRule>
  </conditionalFormatting>
  <conditionalFormatting sqref="D85:D87">
    <cfRule type="cellIs" dxfId="161" priority="162" stopIfTrue="1" operator="equal">
      <formula>J85</formula>
    </cfRule>
  </conditionalFormatting>
  <conditionalFormatting sqref="D85:D87">
    <cfRule type="cellIs" dxfId="160" priority="163" stopIfTrue="1" operator="equal">
      <formula>J85</formula>
    </cfRule>
  </conditionalFormatting>
  <conditionalFormatting sqref="D85:D87">
    <cfRule type="cellIs" dxfId="159" priority="164" stopIfTrue="1" operator="equal">
      <formula>J85</formula>
    </cfRule>
  </conditionalFormatting>
  <conditionalFormatting sqref="D85:D87">
    <cfRule type="cellIs" dxfId="158" priority="165" stopIfTrue="1" operator="equal">
      <formula>J85</formula>
    </cfRule>
  </conditionalFormatting>
  <conditionalFormatting sqref="D85:D87">
    <cfRule type="cellIs" dxfId="157" priority="166" stopIfTrue="1" operator="equal">
      <formula>J85</formula>
    </cfRule>
  </conditionalFormatting>
  <conditionalFormatting sqref="D85:D87">
    <cfRule type="cellIs" dxfId="156" priority="167" stopIfTrue="1" operator="equal">
      <formula>$J85</formula>
    </cfRule>
  </conditionalFormatting>
  <conditionalFormatting sqref="D85:D87">
    <cfRule type="cellIs" dxfId="155" priority="168" stopIfTrue="1" operator="equal">
      <formula>$J85</formula>
    </cfRule>
  </conditionalFormatting>
  <conditionalFormatting sqref="D85:D87">
    <cfRule type="cellIs" dxfId="154" priority="169" stopIfTrue="1" operator="equal">
      <formula>J85</formula>
    </cfRule>
  </conditionalFormatting>
  <conditionalFormatting sqref="D85:D87">
    <cfRule type="cellIs" dxfId="153" priority="170" stopIfTrue="1" operator="equal">
      <formula>J85</formula>
    </cfRule>
  </conditionalFormatting>
  <conditionalFormatting sqref="D85:D87">
    <cfRule type="cellIs" dxfId="152" priority="171" stopIfTrue="1" operator="equal">
      <formula>J85</formula>
    </cfRule>
  </conditionalFormatting>
  <conditionalFormatting sqref="D85:D87">
    <cfRule type="cellIs" dxfId="151" priority="172" stopIfTrue="1" operator="equal">
      <formula>$J85</formula>
    </cfRule>
  </conditionalFormatting>
  <conditionalFormatting sqref="D85:D87">
    <cfRule type="cellIs" dxfId="150" priority="173" stopIfTrue="1" operator="equal">
      <formula>$J85</formula>
    </cfRule>
  </conditionalFormatting>
  <conditionalFormatting sqref="D85:D87">
    <cfRule type="cellIs" dxfId="149" priority="174" stopIfTrue="1" operator="equal">
      <formula>J85</formula>
    </cfRule>
  </conditionalFormatting>
  <conditionalFormatting sqref="D89:D91">
    <cfRule type="cellIs" dxfId="148" priority="175" stopIfTrue="1" operator="equal">
      <formula>J89</formula>
    </cfRule>
  </conditionalFormatting>
  <conditionalFormatting sqref="D89:D91">
    <cfRule type="cellIs" dxfId="147" priority="176" stopIfTrue="1" operator="equal">
      <formula>J89</formula>
    </cfRule>
  </conditionalFormatting>
  <conditionalFormatting sqref="D89:D91">
    <cfRule type="cellIs" dxfId="146" priority="177" stopIfTrue="1" operator="equal">
      <formula>$J89</formula>
    </cfRule>
  </conditionalFormatting>
  <conditionalFormatting sqref="D89:D91">
    <cfRule type="cellIs" dxfId="145" priority="178" stopIfTrue="1" operator="equal">
      <formula>$J89</formula>
    </cfRule>
  </conditionalFormatting>
  <conditionalFormatting sqref="D89:D91">
    <cfRule type="cellIs" dxfId="144" priority="179" stopIfTrue="1" operator="equal">
      <formula>J89</formula>
    </cfRule>
  </conditionalFormatting>
  <conditionalFormatting sqref="D89:D91">
    <cfRule type="cellIs" dxfId="143" priority="180" stopIfTrue="1" operator="equal">
      <formula>J89</formula>
    </cfRule>
  </conditionalFormatting>
  <conditionalFormatting sqref="D89:D91">
    <cfRule type="cellIs" dxfId="142" priority="181" stopIfTrue="1" operator="equal">
      <formula>J89</formula>
    </cfRule>
  </conditionalFormatting>
  <conditionalFormatting sqref="D89:D91">
    <cfRule type="cellIs" dxfId="141" priority="182" stopIfTrue="1" operator="equal">
      <formula>$J89</formula>
    </cfRule>
  </conditionalFormatting>
  <conditionalFormatting sqref="D89:D91">
    <cfRule type="cellIs" dxfId="140" priority="183" stopIfTrue="1" operator="equal">
      <formula>$J89</formula>
    </cfRule>
  </conditionalFormatting>
  <conditionalFormatting sqref="D89:D91">
    <cfRule type="cellIs" dxfId="139" priority="184" stopIfTrue="1" operator="equal">
      <formula>J89</formula>
    </cfRule>
  </conditionalFormatting>
  <conditionalFormatting sqref="D89:D91">
    <cfRule type="cellIs" dxfId="138" priority="185" stopIfTrue="1" operator="equal">
      <formula>$J89</formula>
    </cfRule>
  </conditionalFormatting>
  <conditionalFormatting sqref="D89:D91">
    <cfRule type="cellIs" dxfId="137" priority="186" stopIfTrue="1" operator="equal">
      <formula>$J89</formula>
    </cfRule>
  </conditionalFormatting>
  <conditionalFormatting sqref="D89:D91">
    <cfRule type="cellIs" dxfId="136" priority="187" stopIfTrue="1" operator="equal">
      <formula>J89</formula>
    </cfRule>
  </conditionalFormatting>
  <conditionalFormatting sqref="D89:D91">
    <cfRule type="cellIs" dxfId="135" priority="188" stopIfTrue="1" operator="equal">
      <formula>J89</formula>
    </cfRule>
  </conditionalFormatting>
  <conditionalFormatting sqref="D89:D91">
    <cfRule type="cellIs" dxfId="134" priority="189" stopIfTrue="1" operator="equal">
      <formula>J89</formula>
    </cfRule>
  </conditionalFormatting>
  <conditionalFormatting sqref="D89:D91">
    <cfRule type="cellIs" dxfId="133" priority="190" stopIfTrue="1" operator="equal">
      <formula>J89</formula>
    </cfRule>
  </conditionalFormatting>
  <conditionalFormatting sqref="D89:D91">
    <cfRule type="cellIs" dxfId="132" priority="191" stopIfTrue="1" operator="equal">
      <formula>J89</formula>
    </cfRule>
  </conditionalFormatting>
  <conditionalFormatting sqref="D89:D91">
    <cfRule type="cellIs" dxfId="131" priority="192" stopIfTrue="1" operator="equal">
      <formula>$J89</formula>
    </cfRule>
  </conditionalFormatting>
  <conditionalFormatting sqref="D89:D91">
    <cfRule type="cellIs" dxfId="130" priority="193" stopIfTrue="1" operator="equal">
      <formula>$J89</formula>
    </cfRule>
  </conditionalFormatting>
  <conditionalFormatting sqref="D89:D91">
    <cfRule type="cellIs" dxfId="129" priority="194" stopIfTrue="1" operator="equal">
      <formula>J89</formula>
    </cfRule>
  </conditionalFormatting>
  <conditionalFormatting sqref="D89:D91">
    <cfRule type="cellIs" dxfId="128" priority="195" stopIfTrue="1" operator="equal">
      <formula>J89</formula>
    </cfRule>
  </conditionalFormatting>
  <conditionalFormatting sqref="D89:D91">
    <cfRule type="cellIs" dxfId="127" priority="196" stopIfTrue="1" operator="equal">
      <formula>J89</formula>
    </cfRule>
  </conditionalFormatting>
  <conditionalFormatting sqref="D89:D91">
    <cfRule type="cellIs" dxfId="126" priority="197" stopIfTrue="1" operator="equal">
      <formula>$J89</formula>
    </cfRule>
  </conditionalFormatting>
  <conditionalFormatting sqref="D89:D91">
    <cfRule type="cellIs" dxfId="125" priority="198" stopIfTrue="1" operator="equal">
      <formula>$J89</formula>
    </cfRule>
  </conditionalFormatting>
  <conditionalFormatting sqref="D89:D91">
    <cfRule type="cellIs" dxfId="124" priority="199" stopIfTrue="1" operator="equal">
      <formula>J89</formula>
    </cfRule>
  </conditionalFormatting>
  <conditionalFormatting sqref="D93:D95">
    <cfRule type="cellIs" dxfId="123" priority="200" stopIfTrue="1" operator="equal">
      <formula>J93</formula>
    </cfRule>
  </conditionalFormatting>
  <conditionalFormatting sqref="D93:D95">
    <cfRule type="cellIs" dxfId="122" priority="201" stopIfTrue="1" operator="equal">
      <formula>J93</formula>
    </cfRule>
  </conditionalFormatting>
  <conditionalFormatting sqref="D93:D95">
    <cfRule type="cellIs" dxfId="121" priority="202" stopIfTrue="1" operator="equal">
      <formula>$J93</formula>
    </cfRule>
  </conditionalFormatting>
  <conditionalFormatting sqref="D93:D95">
    <cfRule type="cellIs" dxfId="120" priority="203" stopIfTrue="1" operator="equal">
      <formula>$J93</formula>
    </cfRule>
  </conditionalFormatting>
  <conditionalFormatting sqref="D93:D95">
    <cfRule type="cellIs" dxfId="119" priority="204" stopIfTrue="1" operator="equal">
      <formula>J93</formula>
    </cfRule>
  </conditionalFormatting>
  <conditionalFormatting sqref="D93:D95">
    <cfRule type="cellIs" dxfId="118" priority="205" stopIfTrue="1" operator="equal">
      <formula>J93</formula>
    </cfRule>
  </conditionalFormatting>
  <conditionalFormatting sqref="D93:D95">
    <cfRule type="cellIs" dxfId="117" priority="206" stopIfTrue="1" operator="equal">
      <formula>J93</formula>
    </cfRule>
  </conditionalFormatting>
  <conditionalFormatting sqref="D93:D95">
    <cfRule type="cellIs" dxfId="116" priority="207" stopIfTrue="1" operator="equal">
      <formula>$J93</formula>
    </cfRule>
  </conditionalFormatting>
  <conditionalFormatting sqref="D93:D95">
    <cfRule type="cellIs" dxfId="115" priority="208" stopIfTrue="1" operator="equal">
      <formula>$J93</formula>
    </cfRule>
  </conditionalFormatting>
  <conditionalFormatting sqref="D93:D95">
    <cfRule type="cellIs" dxfId="114" priority="209" stopIfTrue="1" operator="equal">
      <formula>J93</formula>
    </cfRule>
  </conditionalFormatting>
  <conditionalFormatting sqref="D93:D95">
    <cfRule type="cellIs" dxfId="113" priority="210" stopIfTrue="1" operator="equal">
      <formula>$J93</formula>
    </cfRule>
  </conditionalFormatting>
  <conditionalFormatting sqref="D93:D95">
    <cfRule type="cellIs" dxfId="112" priority="211" stopIfTrue="1" operator="equal">
      <formula>$J93</formula>
    </cfRule>
  </conditionalFormatting>
  <conditionalFormatting sqref="D93:D95">
    <cfRule type="cellIs" dxfId="111" priority="212" stopIfTrue="1" operator="equal">
      <formula>J93</formula>
    </cfRule>
  </conditionalFormatting>
  <conditionalFormatting sqref="D93:D95">
    <cfRule type="cellIs" dxfId="110" priority="213" stopIfTrue="1" operator="equal">
      <formula>J93</formula>
    </cfRule>
  </conditionalFormatting>
  <conditionalFormatting sqref="D93:D95">
    <cfRule type="cellIs" dxfId="109" priority="214" stopIfTrue="1" operator="equal">
      <formula>J93</formula>
    </cfRule>
  </conditionalFormatting>
  <conditionalFormatting sqref="D93:D95">
    <cfRule type="cellIs" dxfId="108" priority="215" stopIfTrue="1" operator="equal">
      <formula>J93</formula>
    </cfRule>
  </conditionalFormatting>
  <conditionalFormatting sqref="D93:D95">
    <cfRule type="cellIs" dxfId="107" priority="216" stopIfTrue="1" operator="equal">
      <formula>J93</formula>
    </cfRule>
  </conditionalFormatting>
  <conditionalFormatting sqref="D93:D95">
    <cfRule type="cellIs" dxfId="106" priority="217" stopIfTrue="1" operator="equal">
      <formula>$J93</formula>
    </cfRule>
  </conditionalFormatting>
  <conditionalFormatting sqref="D93:D95">
    <cfRule type="cellIs" dxfId="105" priority="218" stopIfTrue="1" operator="equal">
      <formula>$J93</formula>
    </cfRule>
  </conditionalFormatting>
  <conditionalFormatting sqref="D93:D95">
    <cfRule type="cellIs" dxfId="104" priority="219" stopIfTrue="1" operator="equal">
      <formula>J93</formula>
    </cfRule>
  </conditionalFormatting>
  <conditionalFormatting sqref="D93:D95">
    <cfRule type="cellIs" dxfId="103" priority="220" stopIfTrue="1" operator="equal">
      <formula>J93</formula>
    </cfRule>
  </conditionalFormatting>
  <conditionalFormatting sqref="D93:D95">
    <cfRule type="cellIs" dxfId="102" priority="221" stopIfTrue="1" operator="equal">
      <formula>J93</formula>
    </cfRule>
  </conditionalFormatting>
  <conditionalFormatting sqref="D93:D95">
    <cfRule type="cellIs" dxfId="101" priority="222" stopIfTrue="1" operator="equal">
      <formula>$J93</formula>
    </cfRule>
  </conditionalFormatting>
  <conditionalFormatting sqref="D93:D95">
    <cfRule type="cellIs" dxfId="100" priority="223" stopIfTrue="1" operator="equal">
      <formula>$J93</formula>
    </cfRule>
  </conditionalFormatting>
  <conditionalFormatting sqref="D93:D95">
    <cfRule type="cellIs" dxfId="99" priority="224" stopIfTrue="1" operator="equal">
      <formula>J93</formula>
    </cfRule>
  </conditionalFormatting>
  <conditionalFormatting sqref="D82:D83">
    <cfRule type="cellIs" dxfId="98" priority="225" stopIfTrue="1" operator="equal">
      <formula>J82</formula>
    </cfRule>
  </conditionalFormatting>
  <conditionalFormatting sqref="D85:D87">
    <cfRule type="cellIs" dxfId="97" priority="226" stopIfTrue="1" operator="equal">
      <formula>J85</formula>
    </cfRule>
  </conditionalFormatting>
  <conditionalFormatting sqref="D85:D87">
    <cfRule type="cellIs" dxfId="96" priority="227" stopIfTrue="1" operator="equal">
      <formula>J85</formula>
    </cfRule>
  </conditionalFormatting>
  <conditionalFormatting sqref="D85:D87">
    <cfRule type="cellIs" dxfId="95" priority="228" stopIfTrue="1" operator="equal">
      <formula>$J85</formula>
    </cfRule>
  </conditionalFormatting>
  <conditionalFormatting sqref="D85:D87">
    <cfRule type="cellIs" dxfId="94" priority="229" stopIfTrue="1" operator="equal">
      <formula>$J85</formula>
    </cfRule>
  </conditionalFormatting>
  <conditionalFormatting sqref="D85:D87">
    <cfRule type="cellIs" dxfId="93" priority="230" stopIfTrue="1" operator="equal">
      <formula>J85</formula>
    </cfRule>
  </conditionalFormatting>
  <conditionalFormatting sqref="D85:D87">
    <cfRule type="cellIs" dxfId="92" priority="231" stopIfTrue="1" operator="equal">
      <formula>J85</formula>
    </cfRule>
  </conditionalFormatting>
  <conditionalFormatting sqref="D85:D87">
    <cfRule type="cellIs" dxfId="91" priority="232" stopIfTrue="1" operator="equal">
      <formula>J85</formula>
    </cfRule>
  </conditionalFormatting>
  <conditionalFormatting sqref="D85:D87">
    <cfRule type="cellIs" dxfId="90" priority="233" stopIfTrue="1" operator="equal">
      <formula>$J85</formula>
    </cfRule>
  </conditionalFormatting>
  <conditionalFormatting sqref="D85:D87">
    <cfRule type="cellIs" dxfId="89" priority="234" stopIfTrue="1" operator="equal">
      <formula>$J85</formula>
    </cfRule>
  </conditionalFormatting>
  <conditionalFormatting sqref="D85:D87">
    <cfRule type="cellIs" dxfId="88" priority="235" stopIfTrue="1" operator="equal">
      <formula>J85</formula>
    </cfRule>
  </conditionalFormatting>
  <conditionalFormatting sqref="D85:D87">
    <cfRule type="cellIs" dxfId="87" priority="236" stopIfTrue="1" operator="equal">
      <formula>$J85</formula>
    </cfRule>
  </conditionalFormatting>
  <conditionalFormatting sqref="D85:D87">
    <cfRule type="cellIs" dxfId="86" priority="237" stopIfTrue="1" operator="equal">
      <formula>$J85</formula>
    </cfRule>
  </conditionalFormatting>
  <conditionalFormatting sqref="D85:D87">
    <cfRule type="cellIs" dxfId="85" priority="238" stopIfTrue="1" operator="equal">
      <formula>J85</formula>
    </cfRule>
  </conditionalFormatting>
  <conditionalFormatting sqref="D85:D87">
    <cfRule type="cellIs" dxfId="84" priority="239" stopIfTrue="1" operator="equal">
      <formula>J85</formula>
    </cfRule>
  </conditionalFormatting>
  <conditionalFormatting sqref="D85:D87">
    <cfRule type="cellIs" dxfId="83" priority="240" stopIfTrue="1" operator="equal">
      <formula>J85</formula>
    </cfRule>
  </conditionalFormatting>
  <conditionalFormatting sqref="D85:D87">
    <cfRule type="cellIs" dxfId="82" priority="241" stopIfTrue="1" operator="equal">
      <formula>J85</formula>
    </cfRule>
  </conditionalFormatting>
  <conditionalFormatting sqref="D85:D87">
    <cfRule type="cellIs" dxfId="81" priority="242" stopIfTrue="1" operator="equal">
      <formula>J85</formula>
    </cfRule>
  </conditionalFormatting>
  <conditionalFormatting sqref="D85:D87">
    <cfRule type="cellIs" dxfId="80" priority="243" stopIfTrue="1" operator="equal">
      <formula>$J85</formula>
    </cfRule>
  </conditionalFormatting>
  <conditionalFormatting sqref="D85:D87">
    <cfRule type="cellIs" dxfId="79" priority="244" stopIfTrue="1" operator="equal">
      <formula>$J85</formula>
    </cfRule>
  </conditionalFormatting>
  <conditionalFormatting sqref="D85:D87">
    <cfRule type="cellIs" dxfId="78" priority="245" stopIfTrue="1" operator="equal">
      <formula>J85</formula>
    </cfRule>
  </conditionalFormatting>
  <conditionalFormatting sqref="D85:D87">
    <cfRule type="cellIs" dxfId="77" priority="246" stopIfTrue="1" operator="equal">
      <formula>J85</formula>
    </cfRule>
  </conditionalFormatting>
  <conditionalFormatting sqref="D85:D87">
    <cfRule type="cellIs" dxfId="76" priority="247" stopIfTrue="1" operator="equal">
      <formula>J85</formula>
    </cfRule>
  </conditionalFormatting>
  <conditionalFormatting sqref="D85:D87">
    <cfRule type="cellIs" dxfId="75" priority="248" stopIfTrue="1" operator="equal">
      <formula>$J85</formula>
    </cfRule>
  </conditionalFormatting>
  <conditionalFormatting sqref="D85:D87">
    <cfRule type="cellIs" dxfId="74" priority="249" stopIfTrue="1" operator="equal">
      <formula>$J85</formula>
    </cfRule>
  </conditionalFormatting>
  <conditionalFormatting sqref="D85:D87">
    <cfRule type="cellIs" dxfId="73" priority="250" stopIfTrue="1" operator="equal">
      <formula>J85</formula>
    </cfRule>
  </conditionalFormatting>
  <conditionalFormatting sqref="D85:D87">
    <cfRule type="cellIs" dxfId="72" priority="251" stopIfTrue="1" operator="equal">
      <formula>J85</formula>
    </cfRule>
  </conditionalFormatting>
  <conditionalFormatting sqref="E72">
    <cfRule type="cellIs" dxfId="71" priority="252" stopIfTrue="1" operator="equal">
      <formula>"k28"</formula>
    </cfRule>
    <cfRule type="cellIs" dxfId="70" priority="252" stopIfTrue="1" operator="equal">
      <formula>$K72</formula>
    </cfRule>
  </conditionalFormatting>
  <conditionalFormatting sqref="E72">
    <cfRule type="cellIs" dxfId="69" priority="253" stopIfTrue="1" operator="equal">
      <formula>"k28"</formula>
    </cfRule>
    <cfRule type="cellIs" dxfId="68" priority="253" stopIfTrue="1" operator="equal">
      <formula>$K72</formula>
    </cfRule>
  </conditionalFormatting>
  <conditionalFormatting sqref="E101:E104">
    <cfRule type="cellIs" dxfId="67" priority="254" stopIfTrue="1" operator="equal">
      <formula>K101</formula>
    </cfRule>
  </conditionalFormatting>
  <conditionalFormatting sqref="D93:D95 D97:D99">
    <cfRule type="cellIs" dxfId="66" priority="255" stopIfTrue="1" operator="equal">
      <formula>"9.50 EER, 9.70 IPLV"</formula>
    </cfRule>
  </conditionalFormatting>
  <conditionalFormatting sqref="D94:D95">
    <cfRule type="cellIs" dxfId="65" priority="256" stopIfTrue="1" operator="equal">
      <formula>"""9.5 EER, 9.7 IPLV"""</formula>
    </cfRule>
  </conditionalFormatting>
  <conditionalFormatting sqref="D97:D99">
    <cfRule type="cellIs" dxfId="64" priority="257" stopIfTrue="1" operator="equal">
      <formula>J97</formula>
    </cfRule>
  </conditionalFormatting>
  <conditionalFormatting sqref="D97:D99">
    <cfRule type="cellIs" dxfId="63" priority="258" stopIfTrue="1" operator="equal">
      <formula>J97</formula>
    </cfRule>
  </conditionalFormatting>
  <conditionalFormatting sqref="D97:D99">
    <cfRule type="cellIs" dxfId="62" priority="259" stopIfTrue="1" operator="equal">
      <formula>$J97</formula>
    </cfRule>
  </conditionalFormatting>
  <conditionalFormatting sqref="D97:D99">
    <cfRule type="cellIs" dxfId="61" priority="260" stopIfTrue="1" operator="equal">
      <formula>$J97</formula>
    </cfRule>
  </conditionalFormatting>
  <conditionalFormatting sqref="D97:D99">
    <cfRule type="cellIs" dxfId="60" priority="261" stopIfTrue="1" operator="equal">
      <formula>J97</formula>
    </cfRule>
  </conditionalFormatting>
  <conditionalFormatting sqref="D97:D99">
    <cfRule type="cellIs" dxfId="59" priority="262" stopIfTrue="1" operator="equal">
      <formula>J97</formula>
    </cfRule>
  </conditionalFormatting>
  <conditionalFormatting sqref="D97:D99">
    <cfRule type="cellIs" dxfId="58" priority="263" stopIfTrue="1" operator="equal">
      <formula>J97</formula>
    </cfRule>
  </conditionalFormatting>
  <conditionalFormatting sqref="D97:D99">
    <cfRule type="cellIs" dxfId="57" priority="264" stopIfTrue="1" operator="equal">
      <formula>$J97</formula>
    </cfRule>
  </conditionalFormatting>
  <conditionalFormatting sqref="D97:D99">
    <cfRule type="cellIs" dxfId="56" priority="265" stopIfTrue="1" operator="equal">
      <formula>$J97</formula>
    </cfRule>
  </conditionalFormatting>
  <conditionalFormatting sqref="D97:D99">
    <cfRule type="cellIs" dxfId="55" priority="266" stopIfTrue="1" operator="equal">
      <formula>J97</formula>
    </cfRule>
  </conditionalFormatting>
  <conditionalFormatting sqref="D97:D99">
    <cfRule type="cellIs" dxfId="54" priority="267" stopIfTrue="1" operator="equal">
      <formula>$J97</formula>
    </cfRule>
  </conditionalFormatting>
  <conditionalFormatting sqref="D97:D99">
    <cfRule type="cellIs" dxfId="53" priority="268" stopIfTrue="1" operator="equal">
      <formula>$J97</formula>
    </cfRule>
  </conditionalFormatting>
  <conditionalFormatting sqref="D97:D99">
    <cfRule type="cellIs" dxfId="52" priority="269" stopIfTrue="1" operator="equal">
      <formula>J97</formula>
    </cfRule>
  </conditionalFormatting>
  <conditionalFormatting sqref="D97:D99">
    <cfRule type="cellIs" dxfId="51" priority="270" stopIfTrue="1" operator="equal">
      <formula>J97</formula>
    </cfRule>
  </conditionalFormatting>
  <conditionalFormatting sqref="D97:D99">
    <cfRule type="cellIs" dxfId="50" priority="271" stopIfTrue="1" operator="equal">
      <formula>J97</formula>
    </cfRule>
  </conditionalFormatting>
  <conditionalFormatting sqref="D97:D99">
    <cfRule type="cellIs" dxfId="49" priority="272" stopIfTrue="1" operator="equal">
      <formula>J97</formula>
    </cfRule>
  </conditionalFormatting>
  <conditionalFormatting sqref="D97:D99">
    <cfRule type="cellIs" dxfId="48" priority="273" stopIfTrue="1" operator="equal">
      <formula>J97</formula>
    </cfRule>
  </conditionalFormatting>
  <conditionalFormatting sqref="D97:D99">
    <cfRule type="cellIs" dxfId="47" priority="274" stopIfTrue="1" operator="equal">
      <formula>$J97</formula>
    </cfRule>
  </conditionalFormatting>
  <conditionalFormatting sqref="D97:D99">
    <cfRule type="cellIs" dxfId="46" priority="275" stopIfTrue="1" operator="equal">
      <formula>$J97</formula>
    </cfRule>
  </conditionalFormatting>
  <conditionalFormatting sqref="D97:D99">
    <cfRule type="cellIs" dxfId="45" priority="276" stopIfTrue="1" operator="equal">
      <formula>J97</formula>
    </cfRule>
  </conditionalFormatting>
  <conditionalFormatting sqref="D97:D99">
    <cfRule type="cellIs" dxfId="44" priority="277" stopIfTrue="1" operator="equal">
      <formula>J97</formula>
    </cfRule>
  </conditionalFormatting>
  <conditionalFormatting sqref="D97:D99">
    <cfRule type="cellIs" dxfId="43" priority="278" stopIfTrue="1" operator="equal">
      <formula>J97</formula>
    </cfRule>
  </conditionalFormatting>
  <conditionalFormatting sqref="D97:D99">
    <cfRule type="cellIs" dxfId="42" priority="279" stopIfTrue="1" operator="equal">
      <formula>$J97</formula>
    </cfRule>
  </conditionalFormatting>
  <conditionalFormatting sqref="D97:D99">
    <cfRule type="cellIs" dxfId="41" priority="280" stopIfTrue="1" operator="equal">
      <formula>$J97</formula>
    </cfRule>
  </conditionalFormatting>
  <conditionalFormatting sqref="D97:D99">
    <cfRule type="cellIs" dxfId="40" priority="281" stopIfTrue="1" operator="equal">
      <formula>J97</formula>
    </cfRule>
  </conditionalFormatting>
  <conditionalFormatting sqref="E111:E114">
    <cfRule type="cellIs" dxfId="39" priority="282" stopIfTrue="1" operator="equal">
      <formula>K111</formula>
    </cfRule>
  </conditionalFormatting>
  <conditionalFormatting sqref="E111:E114">
    <cfRule type="cellIs" dxfId="38" priority="283" stopIfTrue="1" operator="equal">
      <formula>K111</formula>
    </cfRule>
  </conditionalFormatting>
  <conditionalFormatting sqref="E111:E114">
    <cfRule type="cellIs" dxfId="37" priority="284" stopIfTrue="1" operator="equal">
      <formula>K111</formula>
    </cfRule>
  </conditionalFormatting>
  <conditionalFormatting sqref="E111:E114">
    <cfRule type="cellIs" dxfId="36" priority="285" stopIfTrue="1" operator="equal">
      <formula>K111</formula>
    </cfRule>
  </conditionalFormatting>
  <conditionalFormatting sqref="E111:E114">
    <cfRule type="cellIs" dxfId="35" priority="286" stopIfTrue="1" operator="equal">
      <formula>K111</formula>
    </cfRule>
  </conditionalFormatting>
  <conditionalFormatting sqref="B118">
    <cfRule type="cellIs" dxfId="34" priority="287" stopIfTrue="1" operator="equal">
      <formula>$I118</formula>
    </cfRule>
  </conditionalFormatting>
  <conditionalFormatting sqref="E118">
    <cfRule type="cellIs" dxfId="33" priority="288" stopIfTrue="1" operator="equal">
      <formula>K118</formula>
    </cfRule>
  </conditionalFormatting>
  <conditionalFormatting sqref="E119:E120">
    <cfRule type="cellIs" dxfId="32" priority="289" stopIfTrue="1" operator="equal">
      <formula>K119</formula>
    </cfRule>
  </conditionalFormatting>
  <conditionalFormatting sqref="E122:E125">
    <cfRule type="cellIs" dxfId="31" priority="290" stopIfTrue="1" operator="equal">
      <formula>K122</formula>
    </cfRule>
  </conditionalFormatting>
  <conditionalFormatting sqref="E122:E125">
    <cfRule type="cellIs" dxfId="30" priority="291" stopIfTrue="1" operator="equal">
      <formula>K122</formula>
    </cfRule>
  </conditionalFormatting>
  <conditionalFormatting sqref="E122:E125">
    <cfRule type="cellIs" dxfId="29" priority="292" stopIfTrue="1" operator="equal">
      <formula>K122</formula>
    </cfRule>
  </conditionalFormatting>
  <conditionalFormatting sqref="E122:E125">
    <cfRule type="cellIs" dxfId="28" priority="293" stopIfTrue="1" operator="equal">
      <formula>K122</formula>
    </cfRule>
  </conditionalFormatting>
  <conditionalFormatting sqref="E122:E125">
    <cfRule type="cellIs" dxfId="27" priority="294" stopIfTrue="1" operator="equal">
      <formula>K122</formula>
    </cfRule>
  </conditionalFormatting>
  <conditionalFormatting sqref="E108:E109">
    <cfRule type="cellIs" dxfId="26" priority="295" stopIfTrue="1" operator="equal">
      <formula>K108</formula>
    </cfRule>
  </conditionalFormatting>
  <conditionalFormatting sqref="E129">
    <cfRule type="cellIs" dxfId="25" priority="296" stopIfTrue="1" operator="equal">
      <formula>K129</formula>
    </cfRule>
  </conditionalFormatting>
  <conditionalFormatting sqref="E129">
    <cfRule type="cellIs" dxfId="24" priority="297" stopIfTrue="1" operator="equal">
      <formula>K129</formula>
    </cfRule>
  </conditionalFormatting>
  <conditionalFormatting sqref="E129">
    <cfRule type="cellIs" dxfId="23" priority="298" stopIfTrue="1" operator="equal">
      <formula>K129</formula>
    </cfRule>
  </conditionalFormatting>
  <conditionalFormatting sqref="E129">
    <cfRule type="cellIs" dxfId="22" priority="299" stopIfTrue="1" operator="equal">
      <formula>K129</formula>
    </cfRule>
  </conditionalFormatting>
  <conditionalFormatting sqref="E130:E132">
    <cfRule type="cellIs" dxfId="21" priority="300" stopIfTrue="1" operator="equal">
      <formula>K130</formula>
    </cfRule>
  </conditionalFormatting>
  <conditionalFormatting sqref="E130:E132">
    <cfRule type="cellIs" dxfId="20" priority="301" stopIfTrue="1" operator="equal">
      <formula>K130</formula>
    </cfRule>
  </conditionalFormatting>
  <conditionalFormatting sqref="E130:E132">
    <cfRule type="cellIs" dxfId="19" priority="302" stopIfTrue="1" operator="equal">
      <formula>K130</formula>
    </cfRule>
  </conditionalFormatting>
  <conditionalFormatting sqref="E130:E132">
    <cfRule type="cellIs" dxfId="18" priority="303" stopIfTrue="1" operator="equal">
      <formula>K130</formula>
    </cfRule>
  </conditionalFormatting>
  <conditionalFormatting sqref="E136">
    <cfRule type="cellIs" dxfId="17" priority="304" stopIfTrue="1" operator="equal">
      <formula>K136</formula>
    </cfRule>
  </conditionalFormatting>
  <conditionalFormatting sqref="E136">
    <cfRule type="cellIs" dxfId="16" priority="305" stopIfTrue="1" operator="equal">
      <formula>K136</formula>
    </cfRule>
  </conditionalFormatting>
  <conditionalFormatting sqref="E136">
    <cfRule type="cellIs" dxfId="15" priority="306" stopIfTrue="1" operator="equal">
      <formula>K136</formula>
    </cfRule>
  </conditionalFormatting>
  <conditionalFormatting sqref="E136">
    <cfRule type="cellIs" dxfId="14" priority="307" stopIfTrue="1" operator="equal">
      <formula>K136</formula>
    </cfRule>
  </conditionalFormatting>
  <conditionalFormatting sqref="E137:E139">
    <cfRule type="cellIs" dxfId="13" priority="308" stopIfTrue="1" operator="equal">
      <formula>K137</formula>
    </cfRule>
  </conditionalFormatting>
  <conditionalFormatting sqref="E137:E139">
    <cfRule type="cellIs" dxfId="12" priority="309" stopIfTrue="1" operator="equal">
      <formula>K137</formula>
    </cfRule>
  </conditionalFormatting>
  <conditionalFormatting sqref="E137:E139">
    <cfRule type="cellIs" dxfId="11" priority="310" stopIfTrue="1" operator="equal">
      <formula>K137</formula>
    </cfRule>
  </conditionalFormatting>
  <conditionalFormatting sqref="E137:E139">
    <cfRule type="cellIs" dxfId="10" priority="311" stopIfTrue="1" operator="equal">
      <formula>K137</formula>
    </cfRule>
  </conditionalFormatting>
  <conditionalFormatting sqref="B2:B8">
    <cfRule type="cellIs" dxfId="9" priority="312" stopIfTrue="1" operator="equal">
      <formula>$I2</formula>
    </cfRule>
  </conditionalFormatting>
  <conditionalFormatting sqref="C71">
    <cfRule type="cellIs" dxfId="8" priority="313" stopIfTrue="1" operator="equal">
      <formula>$K$71</formula>
    </cfRule>
    <cfRule type="cellIs" dxfId="7" priority="313" stopIfTrue="1" operator="equal">
      <formula>I71</formula>
    </cfRule>
  </conditionalFormatting>
  <conditionalFormatting sqref="C71">
    <cfRule type="cellIs" dxfId="6" priority="314" stopIfTrue="1" operator="equal">
      <formula>I71</formula>
    </cfRule>
  </conditionalFormatting>
  <conditionalFormatting sqref="C71">
    <cfRule type="cellIs" dxfId="5" priority="315" stopIfTrue="1" operator="equal">
      <formula>I71</formula>
    </cfRule>
  </conditionalFormatting>
  <conditionalFormatting sqref="C72">
    <cfRule type="cellIs" dxfId="4" priority="316" stopIfTrue="1" operator="equal">
      <formula>$K$72</formula>
    </cfRule>
  </conditionalFormatting>
  <conditionalFormatting sqref="E73">
    <cfRule type="cellIs" dxfId="3" priority="317" stopIfTrue="1" operator="equal">
      <formula>K73</formula>
    </cfRule>
  </conditionalFormatting>
  <conditionalFormatting sqref="E73">
    <cfRule type="cellIs" dxfId="2" priority="318" stopIfTrue="1" operator="equal">
      <formula>K73</formula>
    </cfRule>
  </conditionalFormatting>
  <conditionalFormatting sqref="E73">
    <cfRule type="cellIs" dxfId="1" priority="319" stopIfTrue="1" operator="equal">
      <formula>K73</formula>
    </cfRule>
  </conditionalFormatting>
  <conditionalFormatting sqref="C73">
    <cfRule type="cellIs" dxfId="0" priority="320" stopIfTrue="1" operator="equal">
      <formula>$K$73</formula>
    </cfRule>
  </conditionalFormatting>
  <dataValidations count="16">
    <dataValidation type="list" allowBlank="1" showInputMessage="1" showErrorMessage="1" sqref="I118:I120 I67:I70 B67:B70">
      <formula1>AirHandlerTypeList</formula1>
    </dataValidation>
    <dataValidation type="list" allowBlank="1" showInputMessage="1" showErrorMessage="1" sqref="B118:B120">
      <formula1>HWHtrList</formula1>
    </dataValidation>
    <dataValidation type="list" allowBlank="1" showInputMessage="1" showErrorMessage="1" sqref="B129:B132 I136:I139 I129:I132">
      <formula1>RenewablesList</formula1>
    </dataValidation>
    <dataValidation type="list" allowBlank="1" showInputMessage="1" showErrorMessage="1" sqref="B77:B80 I77:I80">
      <formula1>CentralHtList</formula1>
    </dataValidation>
    <dataValidation type="list" allowBlank="1" showInputMessage="1" showErrorMessage="1" sqref="B81:B84 I81:I84">
      <formula1>AirHandlerHtList</formula1>
    </dataValidation>
    <dataValidation type="list" allowBlank="1" showInputMessage="1" showErrorMessage="1" sqref="B85:B88 I85:I88">
      <formula1>ZoneHtList</formula1>
    </dataValidation>
    <dataValidation type="list" allowBlank="1" showInputMessage="1" showErrorMessage="1" sqref="B89:B92 I89:I92">
      <formula1>CentralCoolList</formula1>
    </dataValidation>
    <dataValidation type="list" allowBlank="1" showInputMessage="1" showErrorMessage="1" sqref="B93:B96 I93:I96">
      <formula1>AirHandlerCoolList</formula1>
    </dataValidation>
    <dataValidation type="list" allowBlank="1" showInputMessage="1" showErrorMessage="1" sqref="I97:I100 B97:B100">
      <formula1>ZoneCoolList</formula1>
    </dataValidation>
    <dataValidation allowBlank="1" showInputMessage="1" showErrorMessage="1" promptTitle="Proposed Efficiency Input" prompt="Do not enter efficiency units (other than the % symbol) as text unless they differ from the column to the left.  When the units differ, the '% better than' calculation will not work." sqref="D81:D83 D85:D87 D89:D91 D93:D95 D97:D99"/>
    <dataValidation type="list" allowBlank="1" showInputMessage="1" showErrorMessage="1" sqref="I73">
      <formula1>ERVList</formula1>
    </dataValidation>
    <dataValidation type="list" allowBlank="1" showInputMessage="1" showErrorMessage="1" sqref="B56:B58">
      <formula1>BldgTypeList</formula1>
    </dataValidation>
    <dataValidation type="list" allowBlank="1" showInputMessage="1" showErrorMessage="1" sqref="B39 B41">
      <formula1>ClimateZone</formula1>
    </dataValidation>
    <dataValidation type="list" allowBlank="1" showInputMessage="1" showErrorMessage="1" sqref="B22:B25">
      <formula1>RoofRTblList</formula1>
    </dataValidation>
    <dataValidation type="list" allowBlank="1" showInputMessage="1" showErrorMessage="1" sqref="B26:B29">
      <formula1>WallRTblList</formula1>
    </dataValidation>
    <dataValidation type="list" allowBlank="1" showInputMessage="1" showErrorMessage="1" sqref="B30:B33">
      <formula1>InfiltrationTbl</formula1>
    </dataValidation>
  </dataValidations>
  <pageMargins left="0.7" right="0.7" top="0.75" bottom="0.75" header="0.3" footer="0.3"/>
  <rowBreaks count="2" manualBreakCount="2">
    <brk id="53" max="16383" man="1"/>
    <brk id="105" max="16383" man="1"/>
  </row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C39"/>
  <sheetViews>
    <sheetView workbookViewId="0">
      <selection activeCell="E11" sqref="E11"/>
    </sheetView>
  </sheetViews>
  <sheetFormatPr defaultColWidth="8.85546875" defaultRowHeight="15" x14ac:dyDescent="0.25"/>
  <cols>
    <col min="1" max="1" width="25.7109375" bestFit="1" customWidth="1"/>
    <col min="2" max="2" width="12.7109375" customWidth="1"/>
    <col min="3" max="3" width="8.85546875" style="1"/>
  </cols>
  <sheetData>
    <row r="1" spans="1:3" x14ac:dyDescent="0.25">
      <c r="A1" t="s">
        <v>476</v>
      </c>
    </row>
    <row r="2" spans="1:3" x14ac:dyDescent="0.25">
      <c r="A2" t="s">
        <v>477</v>
      </c>
    </row>
    <row r="4" spans="1:3" x14ac:dyDescent="0.25">
      <c r="A4" s="11" t="s">
        <v>475</v>
      </c>
      <c r="B4" s="11"/>
      <c r="C4" s="12" t="s">
        <v>478</v>
      </c>
    </row>
    <row r="5" spans="1:3" x14ac:dyDescent="0.25">
      <c r="A5" t="s">
        <v>426</v>
      </c>
      <c r="B5" s="1" t="s">
        <v>479</v>
      </c>
      <c r="C5" s="1" t="s">
        <v>479</v>
      </c>
    </row>
    <row r="6" spans="1:3" x14ac:dyDescent="0.25">
      <c r="A6" t="s">
        <v>427</v>
      </c>
      <c r="B6" s="1" t="s">
        <v>479</v>
      </c>
      <c r="C6" s="1" t="s">
        <v>479</v>
      </c>
    </row>
    <row r="7" spans="1:3" x14ac:dyDescent="0.25">
      <c r="A7" t="s">
        <v>428</v>
      </c>
      <c r="B7" s="1" t="s">
        <v>479</v>
      </c>
      <c r="C7" s="1" t="s">
        <v>479</v>
      </c>
    </row>
    <row r="8" spans="1:3" x14ac:dyDescent="0.25">
      <c r="A8" t="s">
        <v>491</v>
      </c>
      <c r="B8" s="1">
        <f t="shared" ref="B8:B39" si="0">VALUE(C8)</f>
        <v>0.9</v>
      </c>
      <c r="C8" s="1" t="s">
        <v>492</v>
      </c>
    </row>
    <row r="9" spans="1:3" x14ac:dyDescent="0.25">
      <c r="A9" t="s">
        <v>493</v>
      </c>
      <c r="B9" s="1">
        <f t="shared" si="0"/>
        <v>1.2</v>
      </c>
      <c r="C9" s="1" t="s">
        <v>494</v>
      </c>
    </row>
    <row r="10" spans="1:3" x14ac:dyDescent="0.25">
      <c r="A10" t="s">
        <v>495</v>
      </c>
      <c r="B10" s="1">
        <f t="shared" si="0"/>
        <v>1.2</v>
      </c>
      <c r="C10" s="1" t="s">
        <v>494</v>
      </c>
    </row>
    <row r="11" spans="1:3" x14ac:dyDescent="0.25">
      <c r="A11" t="s">
        <v>496</v>
      </c>
      <c r="B11" s="1">
        <f t="shared" si="0"/>
        <v>1.3</v>
      </c>
      <c r="C11" s="1" t="s">
        <v>497</v>
      </c>
    </row>
    <row r="12" spans="1:3" x14ac:dyDescent="0.25">
      <c r="A12" t="s">
        <v>439</v>
      </c>
      <c r="B12" s="1">
        <f t="shared" si="0"/>
        <v>1.4</v>
      </c>
      <c r="C12" s="1" t="s">
        <v>440</v>
      </c>
    </row>
    <row r="13" spans="1:3" x14ac:dyDescent="0.25">
      <c r="A13" t="s">
        <v>441</v>
      </c>
      <c r="B13" s="1">
        <f t="shared" si="0"/>
        <v>1.6</v>
      </c>
      <c r="C13" s="1" t="s">
        <v>442</v>
      </c>
    </row>
    <row r="14" spans="1:3" x14ac:dyDescent="0.25">
      <c r="A14" t="s">
        <v>443</v>
      </c>
      <c r="B14" s="1">
        <f t="shared" si="0"/>
        <v>1</v>
      </c>
      <c r="C14" s="1" t="s">
        <v>444</v>
      </c>
    </row>
    <row r="15" spans="1:3" x14ac:dyDescent="0.25">
      <c r="A15" t="s">
        <v>445</v>
      </c>
      <c r="B15" s="1">
        <f t="shared" si="0"/>
        <v>1</v>
      </c>
      <c r="C15" s="1" t="s">
        <v>444</v>
      </c>
    </row>
    <row r="16" spans="1:3" x14ac:dyDescent="0.25">
      <c r="A16" t="s">
        <v>446</v>
      </c>
      <c r="B16" s="1">
        <f t="shared" si="0"/>
        <v>1.1000000000000001</v>
      </c>
      <c r="C16" s="1" t="s">
        <v>447</v>
      </c>
    </row>
    <row r="17" spans="1:3" x14ac:dyDescent="0.25">
      <c r="A17" t="s">
        <v>448</v>
      </c>
      <c r="B17" s="1">
        <f t="shared" si="0"/>
        <v>1</v>
      </c>
      <c r="C17" s="1" t="s">
        <v>444</v>
      </c>
    </row>
    <row r="18" spans="1:3" x14ac:dyDescent="0.25">
      <c r="A18" t="s">
        <v>449</v>
      </c>
      <c r="B18" s="1">
        <f t="shared" si="0"/>
        <v>1.2</v>
      </c>
      <c r="C18" s="1" t="s">
        <v>494</v>
      </c>
    </row>
    <row r="19" spans="1:3" x14ac:dyDescent="0.25">
      <c r="A19" t="s">
        <v>450</v>
      </c>
      <c r="B19" s="1">
        <f t="shared" si="0"/>
        <v>1</v>
      </c>
      <c r="C19" s="1" t="s">
        <v>444</v>
      </c>
    </row>
    <row r="20" spans="1:3" x14ac:dyDescent="0.25">
      <c r="A20" t="s">
        <v>451</v>
      </c>
      <c r="B20" s="1">
        <f t="shared" si="0"/>
        <v>1.3</v>
      </c>
      <c r="C20" s="1" t="s">
        <v>497</v>
      </c>
    </row>
    <row r="21" spans="1:3" x14ac:dyDescent="0.25">
      <c r="A21" t="s">
        <v>452</v>
      </c>
      <c r="B21" s="1">
        <f t="shared" si="0"/>
        <v>1.3</v>
      </c>
      <c r="C21" s="1" t="s">
        <v>497</v>
      </c>
    </row>
    <row r="22" spans="1:3" x14ac:dyDescent="0.25">
      <c r="A22" t="s">
        <v>453</v>
      </c>
      <c r="B22" s="1">
        <f t="shared" si="0"/>
        <v>1</v>
      </c>
      <c r="C22" s="1" t="s">
        <v>444</v>
      </c>
    </row>
    <row r="23" spans="1:3" x14ac:dyDescent="0.25">
      <c r="A23" t="s">
        <v>454</v>
      </c>
      <c r="B23" s="1">
        <f t="shared" si="0"/>
        <v>1.2</v>
      </c>
      <c r="C23" s="1" t="s">
        <v>494</v>
      </c>
    </row>
    <row r="24" spans="1:3" x14ac:dyDescent="0.25">
      <c r="A24" t="s">
        <v>455</v>
      </c>
      <c r="B24" s="1">
        <f t="shared" si="0"/>
        <v>0.7</v>
      </c>
      <c r="C24" s="1" t="s">
        <v>456</v>
      </c>
    </row>
    <row r="25" spans="1:3" x14ac:dyDescent="0.25">
      <c r="A25" t="s">
        <v>457</v>
      </c>
      <c r="B25" s="1">
        <f t="shared" si="0"/>
        <v>1.1000000000000001</v>
      </c>
      <c r="C25" s="1" t="s">
        <v>447</v>
      </c>
    </row>
    <row r="26" spans="1:3" x14ac:dyDescent="0.25">
      <c r="A26" t="s">
        <v>458</v>
      </c>
      <c r="B26" s="1">
        <f t="shared" si="0"/>
        <v>1</v>
      </c>
      <c r="C26" s="1" t="s">
        <v>444</v>
      </c>
    </row>
    <row r="27" spans="1:3" x14ac:dyDescent="0.25">
      <c r="A27" t="s">
        <v>459</v>
      </c>
      <c r="B27" s="1">
        <f t="shared" si="0"/>
        <v>0.3</v>
      </c>
      <c r="C27" s="1" t="s">
        <v>460</v>
      </c>
    </row>
    <row r="28" spans="1:3" x14ac:dyDescent="0.25">
      <c r="A28" t="s">
        <v>461</v>
      </c>
      <c r="B28" s="1">
        <f t="shared" si="0"/>
        <v>1</v>
      </c>
      <c r="C28" s="1" t="s">
        <v>444</v>
      </c>
    </row>
    <row r="29" spans="1:3" x14ac:dyDescent="0.25">
      <c r="A29" t="s">
        <v>462</v>
      </c>
      <c r="B29" s="1">
        <f t="shared" si="0"/>
        <v>1.6</v>
      </c>
      <c r="C29" s="1" t="s">
        <v>442</v>
      </c>
    </row>
    <row r="30" spans="1:3" x14ac:dyDescent="0.25">
      <c r="A30" t="s">
        <v>463</v>
      </c>
      <c r="B30" s="1">
        <f t="shared" si="0"/>
        <v>1</v>
      </c>
      <c r="C30" s="1" t="s">
        <v>444</v>
      </c>
    </row>
    <row r="31" spans="1:3" x14ac:dyDescent="0.25">
      <c r="A31" t="s">
        <v>464</v>
      </c>
      <c r="B31" s="1">
        <f t="shared" si="0"/>
        <v>1.1000000000000001</v>
      </c>
      <c r="C31" s="1" t="s">
        <v>447</v>
      </c>
    </row>
    <row r="32" spans="1:3" x14ac:dyDescent="0.25">
      <c r="A32" t="s">
        <v>465</v>
      </c>
      <c r="B32" s="1">
        <f t="shared" si="0"/>
        <v>1.3</v>
      </c>
      <c r="C32" s="1" t="s">
        <v>497</v>
      </c>
    </row>
    <row r="33" spans="1:3" x14ac:dyDescent="0.25">
      <c r="A33" t="s">
        <v>466</v>
      </c>
      <c r="B33" s="1">
        <f t="shared" si="0"/>
        <v>1.5</v>
      </c>
      <c r="C33" s="1" t="s">
        <v>467</v>
      </c>
    </row>
    <row r="34" spans="1:3" x14ac:dyDescent="0.25">
      <c r="A34" t="s">
        <v>468</v>
      </c>
      <c r="B34" s="1">
        <f t="shared" si="0"/>
        <v>1.2</v>
      </c>
      <c r="C34" s="1" t="s">
        <v>494</v>
      </c>
    </row>
    <row r="35" spans="1:3" x14ac:dyDescent="0.25">
      <c r="A35" t="s">
        <v>469</v>
      </c>
      <c r="B35" s="1">
        <f t="shared" si="0"/>
        <v>1.1000000000000001</v>
      </c>
      <c r="C35" s="1" t="s">
        <v>447</v>
      </c>
    </row>
    <row r="36" spans="1:3" x14ac:dyDescent="0.25">
      <c r="A36" t="s">
        <v>470</v>
      </c>
      <c r="B36" s="1">
        <f t="shared" si="0"/>
        <v>1.1000000000000001</v>
      </c>
      <c r="C36" s="1" t="s">
        <v>447</v>
      </c>
    </row>
    <row r="37" spans="1:3" x14ac:dyDescent="0.25">
      <c r="A37" t="s">
        <v>471</v>
      </c>
      <c r="B37" s="1">
        <f t="shared" si="0"/>
        <v>1</v>
      </c>
      <c r="C37" s="1" t="s">
        <v>444</v>
      </c>
    </row>
    <row r="38" spans="1:3" x14ac:dyDescent="0.25">
      <c r="A38" t="s">
        <v>472</v>
      </c>
      <c r="B38" s="1">
        <f t="shared" si="0"/>
        <v>0.8</v>
      </c>
      <c r="C38" s="1" t="s">
        <v>473</v>
      </c>
    </row>
    <row r="39" spans="1:3" x14ac:dyDescent="0.25">
      <c r="A39" t="s">
        <v>474</v>
      </c>
      <c r="B39" s="1">
        <f t="shared" si="0"/>
        <v>1.4</v>
      </c>
      <c r="C39" s="1" t="s">
        <v>440</v>
      </c>
    </row>
  </sheetData>
  <sheetProtection password="9059" sheet="1" objects="1" scenarios="1"/>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3:AF12"/>
  <sheetViews>
    <sheetView workbookViewId="0">
      <selection activeCell="E20" sqref="E20"/>
    </sheetView>
  </sheetViews>
  <sheetFormatPr defaultColWidth="8.85546875" defaultRowHeight="15" x14ac:dyDescent="0.25"/>
  <cols>
    <col min="1" max="1" width="32" style="88" bestFit="1" customWidth="1"/>
    <col min="2" max="3" width="12.7109375" style="88" customWidth="1"/>
    <col min="4" max="4" width="3.85546875" style="88" customWidth="1"/>
    <col min="5" max="5" width="32" style="88" bestFit="1" customWidth="1"/>
    <col min="6" max="7" width="12.7109375" style="88" customWidth="1"/>
    <col min="8" max="8" width="3.85546875" style="88" customWidth="1"/>
    <col min="9" max="9" width="26" style="88" customWidth="1"/>
    <col min="10" max="10" width="8.85546875" style="88"/>
    <col min="11" max="11" width="3.28515625" style="88" customWidth="1"/>
    <col min="12" max="12" width="26" style="88" customWidth="1"/>
    <col min="13" max="13" width="8.85546875" style="88"/>
    <col min="14" max="14" width="3.28515625" style="88" customWidth="1"/>
    <col min="15" max="15" width="16.85546875" style="88" customWidth="1"/>
    <col min="16" max="17" width="8.85546875" style="88"/>
    <col min="18" max="18" width="4" style="88" customWidth="1"/>
    <col min="19" max="19" width="26.42578125" style="88" customWidth="1"/>
    <col min="20" max="20" width="8.85546875" style="88"/>
    <col min="21" max="21" width="11.85546875" style="88" customWidth="1"/>
    <col min="22" max="22" width="4" style="88" customWidth="1"/>
    <col min="23" max="23" width="15.42578125" style="88" customWidth="1"/>
    <col min="24" max="24" width="8.85546875" style="88"/>
    <col min="25" max="25" width="3.7109375" style="88" customWidth="1"/>
    <col min="26" max="27" width="8.85546875" style="88"/>
    <col min="28" max="28" width="2.7109375" style="88" customWidth="1"/>
    <col min="29" max="31" width="8.85546875" style="88"/>
    <col min="32" max="32" width="13.28515625" style="88" customWidth="1"/>
    <col min="33" max="16384" width="8.85546875" style="88"/>
  </cols>
  <sheetData>
    <row r="3" spans="1:32" ht="75" x14ac:dyDescent="0.25">
      <c r="A3" s="88" t="s">
        <v>527</v>
      </c>
      <c r="B3" s="168" t="s">
        <v>528</v>
      </c>
      <c r="C3" s="168"/>
      <c r="E3" s="88" t="s">
        <v>529</v>
      </c>
      <c r="F3" s="168"/>
      <c r="G3" s="168"/>
      <c r="I3" s="88" t="s">
        <v>530</v>
      </c>
      <c r="J3" s="169"/>
      <c r="L3" s="170" t="s">
        <v>531</v>
      </c>
      <c r="M3" s="169" t="s">
        <v>532</v>
      </c>
      <c r="O3" s="88" t="s">
        <v>533</v>
      </c>
      <c r="S3" s="88" t="s">
        <v>534</v>
      </c>
      <c r="W3" s="168" t="s">
        <v>535</v>
      </c>
    </row>
    <row r="4" spans="1:32" x14ac:dyDescent="0.25">
      <c r="A4" s="171" t="s">
        <v>536</v>
      </c>
      <c r="B4" s="171" t="s">
        <v>537</v>
      </c>
      <c r="C4" s="172" t="s">
        <v>538</v>
      </c>
      <c r="E4" s="171" t="s">
        <v>539</v>
      </c>
      <c r="F4" s="171" t="s">
        <v>537</v>
      </c>
      <c r="G4" s="172" t="s">
        <v>538</v>
      </c>
      <c r="I4" s="171" t="s">
        <v>540</v>
      </c>
      <c r="J4" s="171" t="s">
        <v>541</v>
      </c>
      <c r="L4" s="171" t="s">
        <v>542</v>
      </c>
      <c r="M4" s="171" t="s">
        <v>543</v>
      </c>
      <c r="O4" s="171" t="s">
        <v>544</v>
      </c>
      <c r="P4" s="171" t="s">
        <v>545</v>
      </c>
      <c r="Q4" s="171" t="s">
        <v>546</v>
      </c>
      <c r="S4" s="171" t="s">
        <v>547</v>
      </c>
      <c r="T4" s="171" t="s">
        <v>545</v>
      </c>
      <c r="U4" s="171" t="s">
        <v>546</v>
      </c>
      <c r="W4" s="171" t="s">
        <v>548</v>
      </c>
      <c r="X4" s="171" t="s">
        <v>545</v>
      </c>
      <c r="Z4" s="171" t="s">
        <v>549</v>
      </c>
      <c r="AC4" s="171" t="s">
        <v>550</v>
      </c>
      <c r="AF4" s="171" t="s">
        <v>551</v>
      </c>
    </row>
    <row r="5" spans="1:32" ht="15.75" thickBot="1" x14ac:dyDescent="0.3">
      <c r="A5" s="88" t="s">
        <v>552</v>
      </c>
      <c r="B5" s="93">
        <v>0.7</v>
      </c>
      <c r="C5" s="93">
        <v>-0.1</v>
      </c>
      <c r="E5" s="88" t="s">
        <v>553</v>
      </c>
      <c r="F5" s="93">
        <v>0.3</v>
      </c>
      <c r="G5" s="93">
        <v>0.1</v>
      </c>
      <c r="I5" s="88" t="s">
        <v>554</v>
      </c>
      <c r="J5" s="93">
        <v>0</v>
      </c>
      <c r="L5" s="88" t="s">
        <v>555</v>
      </c>
      <c r="M5" s="93">
        <v>0.25</v>
      </c>
      <c r="O5" s="88" t="s">
        <v>556</v>
      </c>
      <c r="P5" s="88">
        <v>8.3000000000000007</v>
      </c>
      <c r="Q5" s="88">
        <v>10.1</v>
      </c>
      <c r="S5" s="88" t="s">
        <v>557</v>
      </c>
      <c r="T5" s="93">
        <v>0.75</v>
      </c>
      <c r="U5" s="93">
        <v>0.75</v>
      </c>
      <c r="W5" s="88" t="s">
        <v>558</v>
      </c>
      <c r="X5" s="173">
        <f>0.6-0.0019*40</f>
        <v>0.52400000000000002</v>
      </c>
      <c r="Z5" s="88" t="s">
        <v>559</v>
      </c>
      <c r="AC5" s="88" t="s">
        <v>560</v>
      </c>
      <c r="AF5" s="174" t="s">
        <v>561</v>
      </c>
    </row>
    <row r="6" spans="1:32" x14ac:dyDescent="0.25">
      <c r="A6" s="88" t="s">
        <v>562</v>
      </c>
      <c r="B6" s="93">
        <v>0.6</v>
      </c>
      <c r="C6" s="93">
        <v>-0.1</v>
      </c>
      <c r="E6" s="88" t="s">
        <v>563</v>
      </c>
      <c r="F6" s="93">
        <v>0</v>
      </c>
      <c r="G6" s="93">
        <v>0</v>
      </c>
      <c r="I6" s="88" t="s">
        <v>564</v>
      </c>
      <c r="J6" s="93">
        <v>0</v>
      </c>
      <c r="L6" s="88" t="s">
        <v>401</v>
      </c>
      <c r="M6" s="93">
        <v>0.1</v>
      </c>
      <c r="O6" s="88" t="s">
        <v>402</v>
      </c>
      <c r="P6" s="88">
        <v>7.3</v>
      </c>
      <c r="Q6" s="88">
        <v>11.2</v>
      </c>
      <c r="S6" s="88" t="s">
        <v>403</v>
      </c>
      <c r="T6" s="93">
        <v>0.68</v>
      </c>
      <c r="U6" s="93">
        <v>0.8</v>
      </c>
      <c r="W6" s="88" t="s">
        <v>404</v>
      </c>
      <c r="X6" s="175">
        <v>0.76</v>
      </c>
      <c r="Z6" s="88" t="s">
        <v>405</v>
      </c>
      <c r="AC6" s="88" t="s">
        <v>406</v>
      </c>
      <c r="AF6" s="176" t="s">
        <v>407</v>
      </c>
    </row>
    <row r="7" spans="1:32" x14ac:dyDescent="0.25">
      <c r="A7" s="88" t="s">
        <v>563</v>
      </c>
      <c r="B7" s="93">
        <v>0</v>
      </c>
      <c r="C7" s="93">
        <v>0</v>
      </c>
      <c r="E7" s="88" t="s">
        <v>408</v>
      </c>
      <c r="F7" s="93">
        <v>0.2</v>
      </c>
      <c r="G7" s="93">
        <v>0.1</v>
      </c>
      <c r="I7" s="88" t="s">
        <v>409</v>
      </c>
      <c r="J7" s="93">
        <v>0.2</v>
      </c>
      <c r="L7" s="88" t="s">
        <v>410</v>
      </c>
      <c r="M7" s="93">
        <v>0.2</v>
      </c>
      <c r="O7" s="88" t="s">
        <v>411</v>
      </c>
      <c r="P7" s="88">
        <v>8.6</v>
      </c>
      <c r="Q7" s="88">
        <v>12</v>
      </c>
      <c r="S7" s="88" t="s">
        <v>412</v>
      </c>
      <c r="T7" s="93">
        <v>0.75</v>
      </c>
      <c r="U7" s="93">
        <v>0.8</v>
      </c>
      <c r="W7" s="88" t="s">
        <v>413</v>
      </c>
      <c r="X7" s="88" t="s">
        <v>414</v>
      </c>
      <c r="Z7" s="88" t="s">
        <v>415</v>
      </c>
      <c r="AC7" s="88" t="s">
        <v>416</v>
      </c>
      <c r="AF7" s="174" t="s">
        <v>417</v>
      </c>
    </row>
    <row r="8" spans="1:32" x14ac:dyDescent="0.25">
      <c r="A8" s="88" t="s">
        <v>418</v>
      </c>
      <c r="B8" s="93">
        <v>0</v>
      </c>
      <c r="C8" s="93">
        <v>0</v>
      </c>
      <c r="E8" s="88" t="s">
        <v>419</v>
      </c>
      <c r="F8" s="93">
        <v>0</v>
      </c>
      <c r="G8" s="93">
        <v>0</v>
      </c>
      <c r="I8" s="88" t="s">
        <v>420</v>
      </c>
      <c r="J8" s="93">
        <v>0.25</v>
      </c>
      <c r="L8" s="88" t="s">
        <v>421</v>
      </c>
      <c r="M8" s="93">
        <v>0</v>
      </c>
      <c r="O8" s="88" t="s">
        <v>413</v>
      </c>
      <c r="P8" s="88" t="s">
        <v>414</v>
      </c>
      <c r="Q8" s="98" t="s">
        <v>422</v>
      </c>
      <c r="S8" s="88" t="s">
        <v>483</v>
      </c>
      <c r="T8" s="93">
        <v>0.68</v>
      </c>
      <c r="U8" s="93">
        <v>0.78</v>
      </c>
      <c r="Z8" s="88" t="s">
        <v>484</v>
      </c>
      <c r="AC8" s="88" t="s">
        <v>485</v>
      </c>
      <c r="AF8" s="177"/>
    </row>
    <row r="9" spans="1:32" x14ac:dyDescent="0.25">
      <c r="B9" s="93"/>
      <c r="C9" s="93"/>
      <c r="F9" s="93"/>
      <c r="G9" s="93"/>
      <c r="J9" s="93"/>
      <c r="L9" s="88" t="s">
        <v>486</v>
      </c>
      <c r="M9" s="93">
        <v>0</v>
      </c>
      <c r="S9" s="88" t="s">
        <v>413</v>
      </c>
      <c r="T9" s="88" t="s">
        <v>487</v>
      </c>
      <c r="U9" s="98" t="s">
        <v>422</v>
      </c>
      <c r="Z9" s="88" t="s">
        <v>488</v>
      </c>
      <c r="AC9" s="88" t="s">
        <v>489</v>
      </c>
      <c r="AF9" s="177"/>
    </row>
    <row r="10" spans="1:32" x14ac:dyDescent="0.25">
      <c r="A10" s="170" t="s">
        <v>531</v>
      </c>
      <c r="B10" s="93"/>
      <c r="C10" s="93"/>
      <c r="E10" s="170" t="s">
        <v>531</v>
      </c>
      <c r="F10" s="93"/>
      <c r="G10" s="93"/>
      <c r="S10" s="88" t="s">
        <v>490</v>
      </c>
      <c r="T10" s="93">
        <v>0.75</v>
      </c>
      <c r="U10" s="93">
        <v>0.8</v>
      </c>
      <c r="AC10" s="88" t="s">
        <v>488</v>
      </c>
      <c r="AF10" s="177"/>
    </row>
    <row r="12" spans="1:32" x14ac:dyDescent="0.25">
      <c r="I12" s="170" t="s">
        <v>531</v>
      </c>
    </row>
  </sheetData>
  <sheetProtection password="9059" sheet="1" objects="1" scenarios="1"/>
  <phoneticPr fontId="19" type="noConversion"/>
  <pageMargins left="0.7" right="0.7" top="0.75" bottom="0.75" header="0.3" footer="0.3"/>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pageSetUpPr fitToPage="1"/>
  </sheetPr>
  <dimension ref="A4:G409"/>
  <sheetViews>
    <sheetView topLeftCell="A94" workbookViewId="0">
      <selection activeCell="B109" sqref="B109"/>
    </sheetView>
  </sheetViews>
  <sheetFormatPr defaultColWidth="8.85546875" defaultRowHeight="15" x14ac:dyDescent="0.25"/>
  <cols>
    <col min="1" max="1" width="52.7109375" style="88" customWidth="1"/>
    <col min="2" max="2" width="17.28515625" style="88" customWidth="1"/>
    <col min="3" max="6" width="8.85546875" style="88"/>
    <col min="7" max="7" width="11.42578125" style="88" bestFit="1" customWidth="1"/>
    <col min="8" max="16384" width="8.85546875" style="88"/>
  </cols>
  <sheetData>
    <row r="4" spans="1:2" ht="18.75" x14ac:dyDescent="0.3">
      <c r="A4" s="86" t="s">
        <v>350</v>
      </c>
      <c r="B4" s="87"/>
    </row>
    <row r="5" spans="1:2" ht="18.75" x14ac:dyDescent="0.3">
      <c r="A5" s="89" t="s">
        <v>502</v>
      </c>
    </row>
    <row r="6" spans="1:2" x14ac:dyDescent="0.25">
      <c r="A6" s="88" t="s">
        <v>306</v>
      </c>
      <c r="B6" s="88" t="s">
        <v>364</v>
      </c>
    </row>
    <row r="7" spans="1:2" x14ac:dyDescent="0.25">
      <c r="A7" s="88" t="s">
        <v>304</v>
      </c>
      <c r="B7" s="88" t="s">
        <v>364</v>
      </c>
    </row>
    <row r="8" spans="1:2" x14ac:dyDescent="0.25">
      <c r="A8" s="88" t="s">
        <v>305</v>
      </c>
      <c r="B8" s="88" t="s">
        <v>364</v>
      </c>
    </row>
    <row r="9" spans="1:2" x14ac:dyDescent="0.25">
      <c r="A9" s="88" t="s">
        <v>482</v>
      </c>
      <c r="B9" s="88" t="s">
        <v>397</v>
      </c>
    </row>
    <row r="10" spans="1:2" x14ac:dyDescent="0.25">
      <c r="A10" s="88" t="s">
        <v>348</v>
      </c>
      <c r="B10" s="88" t="s">
        <v>480</v>
      </c>
    </row>
    <row r="11" spans="1:2" x14ac:dyDescent="0.25">
      <c r="A11" s="88" t="s">
        <v>347</v>
      </c>
      <c r="B11" s="88" t="s">
        <v>398</v>
      </c>
    </row>
    <row r="12" spans="1:2" x14ac:dyDescent="0.25">
      <c r="A12" s="88" t="s">
        <v>349</v>
      </c>
      <c r="B12" s="88" t="s">
        <v>481</v>
      </c>
    </row>
    <row r="14" spans="1:2" ht="18.75" x14ac:dyDescent="0.3">
      <c r="A14" s="86" t="s">
        <v>351</v>
      </c>
      <c r="B14" s="87"/>
    </row>
    <row r="15" spans="1:2" ht="18.75" x14ac:dyDescent="0.3">
      <c r="A15" s="89" t="s">
        <v>501</v>
      </c>
    </row>
    <row r="16" spans="1:2" x14ac:dyDescent="0.25">
      <c r="A16" s="88" t="s">
        <v>307</v>
      </c>
      <c r="B16" s="88" t="s">
        <v>364</v>
      </c>
    </row>
    <row r="17" spans="1:2" x14ac:dyDescent="0.25">
      <c r="A17" s="88" t="s">
        <v>308</v>
      </c>
      <c r="B17" s="88" t="s">
        <v>364</v>
      </c>
    </row>
    <row r="18" spans="1:2" x14ac:dyDescent="0.25">
      <c r="A18" s="88" t="s">
        <v>309</v>
      </c>
      <c r="B18" s="88" t="s">
        <v>364</v>
      </c>
    </row>
    <row r="19" spans="1:2" x14ac:dyDescent="0.25">
      <c r="A19" s="88" t="s">
        <v>352</v>
      </c>
      <c r="B19" s="88" t="s">
        <v>399</v>
      </c>
    </row>
    <row r="20" spans="1:2" x14ac:dyDescent="0.25">
      <c r="A20" s="88" t="s">
        <v>356</v>
      </c>
      <c r="B20" s="88" t="s">
        <v>400</v>
      </c>
    </row>
    <row r="21" spans="1:2" x14ac:dyDescent="0.25">
      <c r="A21" s="88" t="s">
        <v>357</v>
      </c>
      <c r="B21" s="88" t="s">
        <v>563</v>
      </c>
    </row>
    <row r="22" spans="1:2" x14ac:dyDescent="0.25">
      <c r="A22" s="88" t="s">
        <v>353</v>
      </c>
      <c r="B22" s="88" t="s">
        <v>363</v>
      </c>
    </row>
    <row r="23" spans="1:2" x14ac:dyDescent="0.25">
      <c r="A23" s="88" t="s">
        <v>358</v>
      </c>
      <c r="B23" s="88" t="s">
        <v>293</v>
      </c>
    </row>
    <row r="24" spans="1:2" x14ac:dyDescent="0.25">
      <c r="A24" s="88" t="s">
        <v>359</v>
      </c>
      <c r="B24" s="88" t="s">
        <v>363</v>
      </c>
    </row>
    <row r="25" spans="1:2" x14ac:dyDescent="0.25">
      <c r="A25" s="88" t="s">
        <v>354</v>
      </c>
      <c r="B25" s="88" t="s">
        <v>294</v>
      </c>
    </row>
    <row r="26" spans="1:2" x14ac:dyDescent="0.25">
      <c r="A26" s="88" t="s">
        <v>360</v>
      </c>
      <c r="B26" s="88" t="s">
        <v>295</v>
      </c>
    </row>
    <row r="27" spans="1:2" x14ac:dyDescent="0.25">
      <c r="A27" s="88" t="s">
        <v>361</v>
      </c>
      <c r="B27" s="88" t="s">
        <v>363</v>
      </c>
    </row>
    <row r="28" spans="1:2" x14ac:dyDescent="0.25">
      <c r="A28" s="88" t="s">
        <v>499</v>
      </c>
      <c r="B28" s="88" t="s">
        <v>295</v>
      </c>
    </row>
    <row r="29" spans="1:2" x14ac:dyDescent="0.25">
      <c r="A29" s="88" t="s">
        <v>498</v>
      </c>
      <c r="B29" s="88" t="s">
        <v>294</v>
      </c>
    </row>
    <row r="30" spans="1:2" x14ac:dyDescent="0.25">
      <c r="A30" s="88" t="s">
        <v>355</v>
      </c>
      <c r="B30" s="88" t="s">
        <v>363</v>
      </c>
    </row>
    <row r="31" spans="1:2" x14ac:dyDescent="0.25">
      <c r="A31" s="88" t="s">
        <v>362</v>
      </c>
      <c r="B31" s="88" t="s">
        <v>363</v>
      </c>
    </row>
    <row r="34" spans="1:1" ht="18.75" x14ac:dyDescent="0.3">
      <c r="A34" s="89" t="s">
        <v>506</v>
      </c>
    </row>
    <row r="35" spans="1:1" x14ac:dyDescent="0.25">
      <c r="A35" s="88" t="s">
        <v>310</v>
      </c>
    </row>
    <row r="36" spans="1:1" x14ac:dyDescent="0.25">
      <c r="A36" s="88" t="s">
        <v>507</v>
      </c>
    </row>
    <row r="37" spans="1:1" x14ac:dyDescent="0.25">
      <c r="A37" s="88" t="s">
        <v>508</v>
      </c>
    </row>
    <row r="39" spans="1:1" ht="18.75" x14ac:dyDescent="0.3">
      <c r="A39" s="89" t="s">
        <v>509</v>
      </c>
    </row>
    <row r="40" spans="1:1" x14ac:dyDescent="0.25">
      <c r="A40" s="88" t="s">
        <v>311</v>
      </c>
    </row>
    <row r="41" spans="1:1" x14ac:dyDescent="0.25">
      <c r="A41" s="88" t="s">
        <v>423</v>
      </c>
    </row>
    <row r="42" spans="1:1" x14ac:dyDescent="0.25">
      <c r="A42" s="88" t="s">
        <v>424</v>
      </c>
    </row>
    <row r="43" spans="1:1" x14ac:dyDescent="0.25">
      <c r="A43" s="88" t="s">
        <v>389</v>
      </c>
    </row>
    <row r="44" spans="1:1" x14ac:dyDescent="0.25">
      <c r="A44" s="88" t="s">
        <v>388</v>
      </c>
    </row>
    <row r="45" spans="1:1" x14ac:dyDescent="0.25">
      <c r="A45" s="88" t="s">
        <v>391</v>
      </c>
    </row>
    <row r="46" spans="1:1" x14ac:dyDescent="0.25">
      <c r="A46" s="88" t="s">
        <v>511</v>
      </c>
    </row>
    <row r="47" spans="1:1" x14ac:dyDescent="0.25">
      <c r="A47" s="88" t="s">
        <v>514</v>
      </c>
    </row>
    <row r="48" spans="1:1" x14ac:dyDescent="0.25">
      <c r="A48" s="88" t="s">
        <v>513</v>
      </c>
    </row>
    <row r="49" spans="1:2" x14ac:dyDescent="0.25">
      <c r="A49" s="88" t="s">
        <v>510</v>
      </c>
    </row>
    <row r="50" spans="1:2" x14ac:dyDescent="0.25">
      <c r="A50" s="88" t="s">
        <v>390</v>
      </c>
    </row>
    <row r="51" spans="1:2" x14ac:dyDescent="0.25">
      <c r="A51" s="88" t="s">
        <v>512</v>
      </c>
    </row>
    <row r="55" spans="1:2" ht="18.75" x14ac:dyDescent="0.3">
      <c r="A55" s="86" t="s">
        <v>436</v>
      </c>
      <c r="B55" s="87"/>
    </row>
    <row r="56" spans="1:2" ht="18.75" x14ac:dyDescent="0.3">
      <c r="A56" s="89" t="s">
        <v>214</v>
      </c>
      <c r="B56" s="90" t="s">
        <v>546</v>
      </c>
    </row>
    <row r="57" spans="1:2" x14ac:dyDescent="0.25">
      <c r="A57" s="88" t="s">
        <v>264</v>
      </c>
      <c r="B57" s="91" t="s">
        <v>479</v>
      </c>
    </row>
    <row r="58" spans="1:2" x14ac:dyDescent="0.25">
      <c r="A58" s="88" t="s">
        <v>265</v>
      </c>
      <c r="B58" s="91" t="s">
        <v>479</v>
      </c>
    </row>
    <row r="59" spans="1:2" x14ac:dyDescent="0.25">
      <c r="A59" s="88" t="s">
        <v>230</v>
      </c>
      <c r="B59" s="91" t="s">
        <v>479</v>
      </c>
    </row>
    <row r="60" spans="1:2" x14ac:dyDescent="0.25">
      <c r="A60" s="88" t="s">
        <v>341</v>
      </c>
      <c r="B60" s="92" t="s">
        <v>297</v>
      </c>
    </row>
    <row r="61" spans="1:2" x14ac:dyDescent="0.25">
      <c r="A61" s="88" t="s">
        <v>339</v>
      </c>
      <c r="B61" s="92" t="s">
        <v>297</v>
      </c>
    </row>
    <row r="62" spans="1:2" x14ac:dyDescent="0.25">
      <c r="A62" s="88" t="s">
        <v>340</v>
      </c>
      <c r="B62" s="92" t="s">
        <v>297</v>
      </c>
    </row>
    <row r="63" spans="1:2" x14ac:dyDescent="0.25">
      <c r="A63" s="88" t="s">
        <v>438</v>
      </c>
      <c r="B63" s="92" t="s">
        <v>297</v>
      </c>
    </row>
    <row r="64" spans="1:2" ht="18" x14ac:dyDescent="0.35">
      <c r="A64" s="88" t="s">
        <v>228</v>
      </c>
      <c r="B64" s="93">
        <v>0.75</v>
      </c>
    </row>
    <row r="65" spans="1:2" ht="18" x14ac:dyDescent="0.35">
      <c r="A65" s="88" t="s">
        <v>69</v>
      </c>
      <c r="B65" s="93">
        <v>0.75</v>
      </c>
    </row>
    <row r="66" spans="1:2" x14ac:dyDescent="0.25">
      <c r="A66" s="88" t="s">
        <v>437</v>
      </c>
      <c r="B66" s="93">
        <v>0.8</v>
      </c>
    </row>
    <row r="67" spans="1:2" x14ac:dyDescent="0.25">
      <c r="A67" s="88" t="s">
        <v>382</v>
      </c>
      <c r="B67" s="93" t="s">
        <v>297</v>
      </c>
    </row>
    <row r="68" spans="1:2" x14ac:dyDescent="0.25">
      <c r="A68" s="88" t="s">
        <v>381</v>
      </c>
      <c r="B68" s="93" t="s">
        <v>297</v>
      </c>
    </row>
    <row r="69" spans="1:2" x14ac:dyDescent="0.25">
      <c r="A69" s="88" t="s">
        <v>380</v>
      </c>
      <c r="B69" s="93" t="s">
        <v>297</v>
      </c>
    </row>
    <row r="70" spans="1:2" x14ac:dyDescent="0.25">
      <c r="A70" s="88" t="s">
        <v>236</v>
      </c>
      <c r="B70" s="93" t="s">
        <v>297</v>
      </c>
    </row>
    <row r="71" spans="1:2" x14ac:dyDescent="0.25">
      <c r="A71" s="88" t="s">
        <v>342</v>
      </c>
      <c r="B71" s="93" t="s">
        <v>297</v>
      </c>
    </row>
    <row r="72" spans="1:2" x14ac:dyDescent="0.25">
      <c r="A72" s="88" t="s">
        <v>390</v>
      </c>
      <c r="B72" s="93" t="s">
        <v>297</v>
      </c>
    </row>
    <row r="73" spans="1:2" x14ac:dyDescent="0.25">
      <c r="A73" s="88" t="s">
        <v>372</v>
      </c>
      <c r="B73" s="93" t="s">
        <v>297</v>
      </c>
    </row>
    <row r="74" spans="1:2" x14ac:dyDescent="0.25">
      <c r="A74" s="88" t="s">
        <v>373</v>
      </c>
      <c r="B74" s="93" t="s">
        <v>297</v>
      </c>
    </row>
    <row r="75" spans="1:2" x14ac:dyDescent="0.25">
      <c r="A75" s="88" t="s">
        <v>287</v>
      </c>
      <c r="B75" s="93" t="s">
        <v>297</v>
      </c>
    </row>
    <row r="76" spans="1:2" x14ac:dyDescent="0.25">
      <c r="B76" s="93"/>
    </row>
    <row r="77" spans="1:2" ht="18.75" x14ac:dyDescent="0.3">
      <c r="A77" s="86" t="s">
        <v>239</v>
      </c>
      <c r="B77" s="87"/>
    </row>
    <row r="78" spans="1:2" ht="18.75" x14ac:dyDescent="0.3">
      <c r="A78" s="89" t="s">
        <v>312</v>
      </c>
      <c r="B78" s="90"/>
    </row>
    <row r="79" spans="1:2" x14ac:dyDescent="0.25">
      <c r="A79" s="88" t="s">
        <v>240</v>
      </c>
      <c r="B79" s="91" t="s">
        <v>479</v>
      </c>
    </row>
    <row r="80" spans="1:2" x14ac:dyDescent="0.25">
      <c r="A80" s="88" t="s">
        <v>241</v>
      </c>
      <c r="B80" s="91" t="s">
        <v>479</v>
      </c>
    </row>
    <row r="81" spans="1:2" x14ac:dyDescent="0.25">
      <c r="A81" s="88" t="s">
        <v>242</v>
      </c>
      <c r="B81" s="91" t="s">
        <v>479</v>
      </c>
    </row>
    <row r="82" spans="1:2" x14ac:dyDescent="0.25">
      <c r="A82" s="88" t="s">
        <v>243</v>
      </c>
      <c r="B82" s="91" t="s">
        <v>479</v>
      </c>
    </row>
    <row r="83" spans="1:2" x14ac:dyDescent="0.25">
      <c r="A83" s="88" t="s">
        <v>374</v>
      </c>
      <c r="B83" s="93" t="s">
        <v>297</v>
      </c>
    </row>
    <row r="84" spans="1:2" x14ac:dyDescent="0.25">
      <c r="A84" s="88" t="s">
        <v>251</v>
      </c>
      <c r="B84" s="93" t="s">
        <v>297</v>
      </c>
    </row>
    <row r="85" spans="1:2" x14ac:dyDescent="0.25">
      <c r="A85" s="88" t="s">
        <v>247</v>
      </c>
    </row>
    <row r="86" spans="1:2" x14ac:dyDescent="0.25">
      <c r="A86" s="88" t="s">
        <v>250</v>
      </c>
      <c r="B86" s="93" t="s">
        <v>297</v>
      </c>
    </row>
    <row r="87" spans="1:2" x14ac:dyDescent="0.25">
      <c r="A87" s="88" t="s">
        <v>563</v>
      </c>
      <c r="B87" s="93" t="s">
        <v>297</v>
      </c>
    </row>
    <row r="88" spans="1:2" x14ac:dyDescent="0.25">
      <c r="A88" s="88" t="s">
        <v>209</v>
      </c>
      <c r="B88" s="93" t="s">
        <v>297</v>
      </c>
    </row>
    <row r="89" spans="1:2" x14ac:dyDescent="0.25">
      <c r="A89" s="88" t="s">
        <v>519</v>
      </c>
      <c r="B89" s="93" t="s">
        <v>297</v>
      </c>
    </row>
    <row r="90" spans="1:2" x14ac:dyDescent="0.25">
      <c r="A90" s="88" t="s">
        <v>518</v>
      </c>
      <c r="B90" s="93" t="s">
        <v>297</v>
      </c>
    </row>
    <row r="93" spans="1:2" ht="18.75" x14ac:dyDescent="0.3">
      <c r="A93" s="86" t="s">
        <v>126</v>
      </c>
      <c r="B93" s="87"/>
    </row>
    <row r="94" spans="1:2" ht="18.75" x14ac:dyDescent="0.3">
      <c r="A94" s="89" t="s">
        <v>127</v>
      </c>
      <c r="B94" s="90"/>
    </row>
    <row r="95" spans="1:2" x14ac:dyDescent="0.25">
      <c r="A95" s="88" t="s">
        <v>10</v>
      </c>
      <c r="B95" s="93" t="s">
        <v>9</v>
      </c>
    </row>
    <row r="96" spans="1:2" x14ac:dyDescent="0.25">
      <c r="A96" s="88" t="s">
        <v>33</v>
      </c>
      <c r="B96" s="91" t="s">
        <v>479</v>
      </c>
    </row>
    <row r="97" spans="1:4" x14ac:dyDescent="0.25">
      <c r="A97" s="88" t="s">
        <v>34</v>
      </c>
      <c r="B97" s="91" t="s">
        <v>479</v>
      </c>
    </row>
    <row r="98" spans="1:4" x14ac:dyDescent="0.25">
      <c r="A98" s="88" t="s">
        <v>42</v>
      </c>
      <c r="B98" s="93" t="s">
        <v>9</v>
      </c>
      <c r="D98" s="98" t="s">
        <v>5</v>
      </c>
    </row>
    <row r="99" spans="1:4" x14ac:dyDescent="0.25">
      <c r="A99" s="88" t="s">
        <v>43</v>
      </c>
      <c r="B99" s="93" t="s">
        <v>9</v>
      </c>
      <c r="D99" s="98" t="s">
        <v>6</v>
      </c>
    </row>
    <row r="100" spans="1:4" x14ac:dyDescent="0.25">
      <c r="A100" s="88" t="s">
        <v>35</v>
      </c>
      <c r="B100" s="93" t="s">
        <v>9</v>
      </c>
      <c r="D100" s="98" t="s">
        <v>6</v>
      </c>
    </row>
    <row r="101" spans="1:4" x14ac:dyDescent="0.25">
      <c r="A101" s="88" t="s">
        <v>40</v>
      </c>
      <c r="B101" s="93" t="s">
        <v>9</v>
      </c>
      <c r="D101" s="98" t="s">
        <v>5</v>
      </c>
    </row>
    <row r="102" spans="1:4" x14ac:dyDescent="0.25">
      <c r="A102" s="88" t="s">
        <v>41</v>
      </c>
      <c r="B102" s="93" t="s">
        <v>9</v>
      </c>
      <c r="D102" s="98" t="s">
        <v>6</v>
      </c>
    </row>
    <row r="103" spans="1:4" x14ac:dyDescent="0.25">
      <c r="A103" s="88" t="s">
        <v>36</v>
      </c>
      <c r="B103" s="93" t="s">
        <v>9</v>
      </c>
      <c r="D103" s="98" t="s">
        <v>5</v>
      </c>
    </row>
    <row r="104" spans="1:4" x14ac:dyDescent="0.25">
      <c r="A104" s="88" t="s">
        <v>37</v>
      </c>
      <c r="B104" s="93" t="s">
        <v>9</v>
      </c>
      <c r="D104" s="98" t="s">
        <v>5</v>
      </c>
    </row>
    <row r="105" spans="1:4" x14ac:dyDescent="0.25">
      <c r="A105" s="88" t="s">
        <v>38</v>
      </c>
      <c r="B105" s="93" t="s">
        <v>9</v>
      </c>
      <c r="D105" s="98" t="s">
        <v>7</v>
      </c>
    </row>
    <row r="106" spans="1:4" x14ac:dyDescent="0.25">
      <c r="A106" s="88" t="s">
        <v>39</v>
      </c>
      <c r="B106" s="93" t="s">
        <v>9</v>
      </c>
      <c r="D106" s="98" t="s">
        <v>8</v>
      </c>
    </row>
    <row r="113" spans="1:2" ht="18.75" x14ac:dyDescent="0.3">
      <c r="A113" s="86" t="s">
        <v>128</v>
      </c>
      <c r="B113" s="87"/>
    </row>
    <row r="114" spans="1:2" ht="18.75" x14ac:dyDescent="0.3">
      <c r="A114" s="89" t="s">
        <v>232</v>
      </c>
      <c r="B114" s="90"/>
    </row>
    <row r="115" spans="1:2" x14ac:dyDescent="0.25">
      <c r="A115" s="88" t="s">
        <v>15</v>
      </c>
      <c r="B115" s="93" t="s">
        <v>14</v>
      </c>
    </row>
    <row r="116" spans="1:2" x14ac:dyDescent="0.25">
      <c r="A116" s="88" t="s">
        <v>11</v>
      </c>
      <c r="B116" s="91" t="s">
        <v>479</v>
      </c>
    </row>
    <row r="117" spans="1:2" x14ac:dyDescent="0.25">
      <c r="A117" s="88" t="s">
        <v>12</v>
      </c>
      <c r="B117" s="91" t="s">
        <v>479</v>
      </c>
    </row>
    <row r="118" spans="1:2" x14ac:dyDescent="0.25">
      <c r="A118" s="88" t="s">
        <v>13</v>
      </c>
      <c r="B118" s="91" t="s">
        <v>479</v>
      </c>
    </row>
    <row r="119" spans="1:2" x14ac:dyDescent="0.25">
      <c r="A119" s="88" t="s">
        <v>130</v>
      </c>
      <c r="B119" s="93" t="s">
        <v>14</v>
      </c>
    </row>
    <row r="120" spans="1:2" x14ac:dyDescent="0.25">
      <c r="A120" s="88" t="s">
        <v>132</v>
      </c>
      <c r="B120" s="93" t="s">
        <v>14</v>
      </c>
    </row>
    <row r="121" spans="1:2" x14ac:dyDescent="0.25">
      <c r="A121" s="88" t="s">
        <v>131</v>
      </c>
      <c r="B121" s="93" t="s">
        <v>160</v>
      </c>
    </row>
    <row r="122" spans="1:2" x14ac:dyDescent="0.25">
      <c r="A122" s="88" t="s">
        <v>129</v>
      </c>
      <c r="B122" s="93" t="s">
        <v>14</v>
      </c>
    </row>
    <row r="123" spans="1:2" x14ac:dyDescent="0.25">
      <c r="A123" s="88" t="s">
        <v>209</v>
      </c>
      <c r="B123" s="93" t="s">
        <v>14</v>
      </c>
    </row>
    <row r="125" spans="1:2" ht="18.75" x14ac:dyDescent="0.3">
      <c r="A125" s="86" t="s">
        <v>237</v>
      </c>
      <c r="B125" s="87"/>
    </row>
    <row r="126" spans="1:2" ht="18.75" x14ac:dyDescent="0.3">
      <c r="A126" s="89" t="s">
        <v>313</v>
      </c>
      <c r="B126" s="90"/>
    </row>
    <row r="127" spans="1:2" x14ac:dyDescent="0.25">
      <c r="A127" s="88" t="s">
        <v>254</v>
      </c>
      <c r="B127" s="91" t="s">
        <v>479</v>
      </c>
    </row>
    <row r="128" spans="1:2" x14ac:dyDescent="0.25">
      <c r="A128" s="88" t="s">
        <v>255</v>
      </c>
      <c r="B128" s="91" t="s">
        <v>479</v>
      </c>
    </row>
    <row r="129" spans="1:2" x14ac:dyDescent="0.25">
      <c r="A129" s="88" t="s">
        <v>256</v>
      </c>
      <c r="B129" s="91" t="s">
        <v>479</v>
      </c>
    </row>
    <row r="130" spans="1:2" x14ac:dyDescent="0.25">
      <c r="A130" s="88" t="s">
        <v>206</v>
      </c>
      <c r="B130" s="93" t="s">
        <v>297</v>
      </c>
    </row>
    <row r="131" spans="1:2" ht="18" x14ac:dyDescent="0.35">
      <c r="A131" s="88" t="s">
        <v>210</v>
      </c>
      <c r="B131" s="93">
        <v>0.8</v>
      </c>
    </row>
    <row r="132" spans="1:2" x14ac:dyDescent="0.25">
      <c r="A132" s="88" t="s">
        <v>208</v>
      </c>
      <c r="B132" s="93" t="s">
        <v>297</v>
      </c>
    </row>
    <row r="133" spans="1:2" x14ac:dyDescent="0.25">
      <c r="A133" s="88" t="s">
        <v>55</v>
      </c>
      <c r="B133" s="93">
        <v>0.8</v>
      </c>
    </row>
    <row r="134" spans="1:2" x14ac:dyDescent="0.25">
      <c r="A134" s="88" t="s">
        <v>56</v>
      </c>
      <c r="B134" s="93">
        <v>0.78</v>
      </c>
    </row>
    <row r="135" spans="1:2" x14ac:dyDescent="0.25">
      <c r="A135" s="88" t="s">
        <v>195</v>
      </c>
      <c r="B135" s="93" t="s">
        <v>198</v>
      </c>
    </row>
    <row r="136" spans="1:2" x14ac:dyDescent="0.25">
      <c r="A136" s="88" t="s">
        <v>196</v>
      </c>
      <c r="B136" s="93" t="s">
        <v>199</v>
      </c>
    </row>
    <row r="137" spans="1:2" x14ac:dyDescent="0.25">
      <c r="A137" s="88" t="s">
        <v>197</v>
      </c>
      <c r="B137" s="93" t="s">
        <v>200</v>
      </c>
    </row>
    <row r="138" spans="1:2" x14ac:dyDescent="0.25">
      <c r="A138" s="88" t="s">
        <v>202</v>
      </c>
      <c r="B138" s="93" t="s">
        <v>200</v>
      </c>
    </row>
    <row r="139" spans="1:2" x14ac:dyDescent="0.25">
      <c r="A139" s="88" t="s">
        <v>203</v>
      </c>
      <c r="B139" s="93" t="s">
        <v>204</v>
      </c>
    </row>
    <row r="140" spans="1:2" x14ac:dyDescent="0.25">
      <c r="A140" s="88" t="s">
        <v>379</v>
      </c>
      <c r="B140" s="93" t="s">
        <v>201</v>
      </c>
    </row>
    <row r="141" spans="1:2" x14ac:dyDescent="0.25">
      <c r="A141" s="88" t="s">
        <v>375</v>
      </c>
      <c r="B141" s="93" t="s">
        <v>297</v>
      </c>
    </row>
    <row r="142" spans="1:2" x14ac:dyDescent="0.25">
      <c r="A142" s="88" t="s">
        <v>236</v>
      </c>
      <c r="B142" s="93" t="s">
        <v>297</v>
      </c>
    </row>
    <row r="143" spans="1:2" x14ac:dyDescent="0.25">
      <c r="A143" s="88" t="s">
        <v>376</v>
      </c>
      <c r="B143" s="93" t="s">
        <v>297</v>
      </c>
    </row>
    <row r="144" spans="1:2" x14ac:dyDescent="0.25">
      <c r="A144" s="88" t="s">
        <v>377</v>
      </c>
      <c r="B144" s="93" t="s">
        <v>297</v>
      </c>
    </row>
    <row r="145" spans="1:2" x14ac:dyDescent="0.25">
      <c r="A145" s="88" t="s">
        <v>563</v>
      </c>
      <c r="B145" s="93" t="s">
        <v>297</v>
      </c>
    </row>
    <row r="146" spans="1:2" x14ac:dyDescent="0.25">
      <c r="A146" s="88" t="s">
        <v>205</v>
      </c>
      <c r="B146" s="93" t="s">
        <v>297</v>
      </c>
    </row>
    <row r="147" spans="1:2" x14ac:dyDescent="0.25">
      <c r="A147" s="88" t="s">
        <v>209</v>
      </c>
      <c r="B147" s="93" t="s">
        <v>297</v>
      </c>
    </row>
    <row r="148" spans="1:2" x14ac:dyDescent="0.25">
      <c r="A148" s="88" t="s">
        <v>267</v>
      </c>
      <c r="B148" s="93" t="s">
        <v>297</v>
      </c>
    </row>
    <row r="149" spans="1:2" x14ac:dyDescent="0.25">
      <c r="A149" s="88" t="s">
        <v>378</v>
      </c>
      <c r="B149" s="93" t="s">
        <v>297</v>
      </c>
    </row>
    <row r="150" spans="1:2" x14ac:dyDescent="0.25">
      <c r="A150" s="88" t="s">
        <v>212</v>
      </c>
      <c r="B150" s="93" t="s">
        <v>297</v>
      </c>
    </row>
    <row r="151" spans="1:2" ht="18" x14ac:dyDescent="0.35">
      <c r="A151" s="88" t="s">
        <v>211</v>
      </c>
      <c r="B151" s="93">
        <v>0.8</v>
      </c>
    </row>
    <row r="152" spans="1:2" x14ac:dyDescent="0.25">
      <c r="A152" s="88" t="s">
        <v>226</v>
      </c>
      <c r="B152" s="91" t="s">
        <v>479</v>
      </c>
    </row>
    <row r="155" spans="1:2" ht="18.75" x14ac:dyDescent="0.3">
      <c r="A155" s="86" t="s">
        <v>238</v>
      </c>
      <c r="B155" s="87"/>
    </row>
    <row r="156" spans="1:2" ht="18.75" x14ac:dyDescent="0.3">
      <c r="A156" s="89" t="s">
        <v>314</v>
      </c>
      <c r="B156" s="90"/>
    </row>
    <row r="157" spans="1:2" x14ac:dyDescent="0.25">
      <c r="A157" s="88" t="s">
        <v>365</v>
      </c>
      <c r="B157" s="91" t="s">
        <v>479</v>
      </c>
    </row>
    <row r="158" spans="1:2" x14ac:dyDescent="0.25">
      <c r="A158" s="88" t="s">
        <v>366</v>
      </c>
      <c r="B158" s="91" t="s">
        <v>479</v>
      </c>
    </row>
    <row r="159" spans="1:2" x14ac:dyDescent="0.25">
      <c r="A159" s="88" t="s">
        <v>369</v>
      </c>
      <c r="B159" s="91" t="s">
        <v>479</v>
      </c>
    </row>
    <row r="160" spans="1:2" x14ac:dyDescent="0.25">
      <c r="A160" s="88" t="s">
        <v>186</v>
      </c>
      <c r="B160" s="93" t="s">
        <v>297</v>
      </c>
    </row>
    <row r="161" spans="1:2" x14ac:dyDescent="0.25">
      <c r="A161" s="88" t="s">
        <v>187</v>
      </c>
      <c r="B161" s="93" t="s">
        <v>297</v>
      </c>
    </row>
    <row r="162" spans="1:2" x14ac:dyDescent="0.25">
      <c r="A162" s="88" t="s">
        <v>207</v>
      </c>
      <c r="B162" s="93" t="s">
        <v>297</v>
      </c>
    </row>
    <row r="163" spans="1:2" x14ac:dyDescent="0.25">
      <c r="A163" s="88" t="s">
        <v>191</v>
      </c>
      <c r="B163" s="93" t="s">
        <v>297</v>
      </c>
    </row>
    <row r="164" spans="1:2" x14ac:dyDescent="0.25">
      <c r="A164" s="88" t="s">
        <v>55</v>
      </c>
      <c r="B164" s="93">
        <v>0.8</v>
      </c>
    </row>
    <row r="165" spans="1:2" x14ac:dyDescent="0.25">
      <c r="A165" s="88" t="s">
        <v>56</v>
      </c>
      <c r="B165" s="93">
        <v>0.78</v>
      </c>
    </row>
    <row r="166" spans="1:2" x14ac:dyDescent="0.25">
      <c r="A166" s="88" t="s">
        <v>195</v>
      </c>
      <c r="B166" s="93" t="s">
        <v>198</v>
      </c>
    </row>
    <row r="167" spans="1:2" x14ac:dyDescent="0.25">
      <c r="A167" s="88" t="s">
        <v>196</v>
      </c>
      <c r="B167" s="93" t="s">
        <v>199</v>
      </c>
    </row>
    <row r="168" spans="1:2" x14ac:dyDescent="0.25">
      <c r="A168" s="88" t="s">
        <v>197</v>
      </c>
      <c r="B168" s="93" t="s">
        <v>200</v>
      </c>
    </row>
    <row r="169" spans="1:2" x14ac:dyDescent="0.25">
      <c r="A169" s="88" t="s">
        <v>202</v>
      </c>
      <c r="B169" s="93" t="s">
        <v>200</v>
      </c>
    </row>
    <row r="170" spans="1:2" x14ac:dyDescent="0.25">
      <c r="A170" s="88" t="s">
        <v>203</v>
      </c>
      <c r="B170" s="93" t="s">
        <v>204</v>
      </c>
    </row>
    <row r="171" spans="1:2" x14ac:dyDescent="0.25">
      <c r="A171" s="88" t="s">
        <v>379</v>
      </c>
      <c r="B171" s="93" t="s">
        <v>201</v>
      </c>
    </row>
    <row r="172" spans="1:2" x14ac:dyDescent="0.25">
      <c r="A172" s="88" t="s">
        <v>375</v>
      </c>
      <c r="B172" s="93" t="s">
        <v>297</v>
      </c>
    </row>
    <row r="173" spans="1:2" x14ac:dyDescent="0.25">
      <c r="A173" s="88" t="s">
        <v>236</v>
      </c>
      <c r="B173" s="93" t="s">
        <v>297</v>
      </c>
    </row>
    <row r="174" spans="1:2" x14ac:dyDescent="0.25">
      <c r="A174" s="88" t="s">
        <v>193</v>
      </c>
      <c r="B174" s="93" t="s">
        <v>297</v>
      </c>
    </row>
    <row r="175" spans="1:2" x14ac:dyDescent="0.25">
      <c r="A175" s="88" t="s">
        <v>192</v>
      </c>
      <c r="B175" s="93" t="s">
        <v>297</v>
      </c>
    </row>
    <row r="176" spans="1:2" x14ac:dyDescent="0.25">
      <c r="A176" s="88" t="s">
        <v>563</v>
      </c>
      <c r="B176" s="93" t="s">
        <v>297</v>
      </c>
    </row>
    <row r="177" spans="1:2" x14ac:dyDescent="0.25">
      <c r="A177" s="88" t="s">
        <v>194</v>
      </c>
      <c r="B177" s="93" t="s">
        <v>297</v>
      </c>
    </row>
    <row r="178" spans="1:2" x14ac:dyDescent="0.25">
      <c r="A178" s="88" t="s">
        <v>209</v>
      </c>
      <c r="B178" s="93" t="s">
        <v>297</v>
      </c>
    </row>
    <row r="179" spans="1:2" x14ac:dyDescent="0.25">
      <c r="A179" s="88" t="s">
        <v>83</v>
      </c>
      <c r="B179" s="93" t="s">
        <v>95</v>
      </c>
    </row>
    <row r="180" spans="1:2" x14ac:dyDescent="0.25">
      <c r="A180" s="88" t="s">
        <v>84</v>
      </c>
      <c r="B180" s="93" t="s">
        <v>96</v>
      </c>
    </row>
    <row r="181" spans="1:2" x14ac:dyDescent="0.25">
      <c r="A181" s="88" t="s">
        <v>85</v>
      </c>
      <c r="B181" s="93" t="s">
        <v>97</v>
      </c>
    </row>
    <row r="182" spans="1:2" x14ac:dyDescent="0.25">
      <c r="A182" s="88" t="s">
        <v>386</v>
      </c>
      <c r="B182" s="93" t="s">
        <v>297</v>
      </c>
    </row>
    <row r="183" spans="1:2" x14ac:dyDescent="0.25">
      <c r="A183" s="88" t="s">
        <v>387</v>
      </c>
      <c r="B183" s="93" t="s">
        <v>297</v>
      </c>
    </row>
    <row r="184" spans="1:2" x14ac:dyDescent="0.25">
      <c r="A184" s="88" t="s">
        <v>383</v>
      </c>
      <c r="B184" s="93" t="s">
        <v>297</v>
      </c>
    </row>
    <row r="185" spans="1:2" x14ac:dyDescent="0.25">
      <c r="A185" s="88" t="s">
        <v>385</v>
      </c>
      <c r="B185" s="93" t="s">
        <v>297</v>
      </c>
    </row>
    <row r="186" spans="1:2" x14ac:dyDescent="0.25">
      <c r="A186" s="88" t="s">
        <v>384</v>
      </c>
      <c r="B186" s="93" t="s">
        <v>297</v>
      </c>
    </row>
    <row r="187" spans="1:2" x14ac:dyDescent="0.25">
      <c r="A187" s="88" t="s">
        <v>185</v>
      </c>
      <c r="B187" s="93" t="s">
        <v>297</v>
      </c>
    </row>
    <row r="188" spans="1:2" x14ac:dyDescent="0.25">
      <c r="A188" s="88" t="s">
        <v>292</v>
      </c>
      <c r="B188" s="93" t="s">
        <v>297</v>
      </c>
    </row>
    <row r="189" spans="1:2" x14ac:dyDescent="0.25">
      <c r="A189" s="88" t="s">
        <v>188</v>
      </c>
      <c r="B189" s="93" t="s">
        <v>297</v>
      </c>
    </row>
    <row r="190" spans="1:2" x14ac:dyDescent="0.25">
      <c r="A190" s="88" t="s">
        <v>189</v>
      </c>
      <c r="B190" s="93" t="s">
        <v>297</v>
      </c>
    </row>
    <row r="191" spans="1:2" x14ac:dyDescent="0.25">
      <c r="A191" s="88" t="s">
        <v>190</v>
      </c>
      <c r="B191" s="93" t="s">
        <v>297</v>
      </c>
    </row>
    <row r="192" spans="1:2" x14ac:dyDescent="0.25">
      <c r="A192" s="88" t="s">
        <v>267</v>
      </c>
      <c r="B192" s="93" t="s">
        <v>297</v>
      </c>
    </row>
    <row r="193" spans="1:2" x14ac:dyDescent="0.25">
      <c r="A193" s="88" t="s">
        <v>378</v>
      </c>
      <c r="B193" s="93" t="s">
        <v>297</v>
      </c>
    </row>
    <row r="194" spans="1:2" x14ac:dyDescent="0.25">
      <c r="A194" s="88" t="s">
        <v>212</v>
      </c>
      <c r="B194" s="93" t="s">
        <v>297</v>
      </c>
    </row>
    <row r="195" spans="1:2" ht="18" x14ac:dyDescent="0.35">
      <c r="A195" s="88" t="s">
        <v>211</v>
      </c>
      <c r="B195" s="93">
        <v>0.8</v>
      </c>
    </row>
    <row r="196" spans="1:2" x14ac:dyDescent="0.25">
      <c r="A196" s="88" t="s">
        <v>226</v>
      </c>
      <c r="B196" s="91" t="s">
        <v>479</v>
      </c>
    </row>
    <row r="197" spans="1:2" x14ac:dyDescent="0.25">
      <c r="B197" s="93"/>
    </row>
    <row r="198" spans="1:2" x14ac:dyDescent="0.25">
      <c r="B198" s="93"/>
    </row>
    <row r="199" spans="1:2" x14ac:dyDescent="0.25">
      <c r="B199" s="93"/>
    </row>
    <row r="200" spans="1:2" ht="18.75" x14ac:dyDescent="0.3">
      <c r="A200" s="86" t="s">
        <v>325</v>
      </c>
      <c r="B200" s="87"/>
    </row>
    <row r="201" spans="1:2" ht="18.75" x14ac:dyDescent="0.3">
      <c r="A201" s="89" t="s">
        <v>326</v>
      </c>
      <c r="B201" s="90"/>
    </row>
    <row r="202" spans="1:2" x14ac:dyDescent="0.25">
      <c r="A202" s="88" t="s">
        <v>261</v>
      </c>
      <c r="B202" s="91" t="s">
        <v>479</v>
      </c>
    </row>
    <row r="203" spans="1:2" x14ac:dyDescent="0.25">
      <c r="A203" s="88" t="s">
        <v>262</v>
      </c>
      <c r="B203" s="91" t="s">
        <v>479</v>
      </c>
    </row>
    <row r="204" spans="1:2" x14ac:dyDescent="0.25">
      <c r="A204" s="88" t="s">
        <v>263</v>
      </c>
      <c r="B204" s="91" t="s">
        <v>479</v>
      </c>
    </row>
    <row r="205" spans="1:2" x14ac:dyDescent="0.25">
      <c r="A205" s="88" t="s">
        <v>153</v>
      </c>
      <c r="B205" s="93" t="s">
        <v>155</v>
      </c>
    </row>
    <row r="206" spans="1:2" x14ac:dyDescent="0.25">
      <c r="A206" s="88" t="s">
        <v>257</v>
      </c>
      <c r="B206" s="93" t="s">
        <v>154</v>
      </c>
    </row>
    <row r="207" spans="1:2" x14ac:dyDescent="0.25">
      <c r="A207" s="88" t="s">
        <v>151</v>
      </c>
      <c r="B207" s="93" t="s">
        <v>149</v>
      </c>
    </row>
    <row r="208" spans="1:2" x14ac:dyDescent="0.25">
      <c r="A208" s="88" t="s">
        <v>152</v>
      </c>
      <c r="B208" s="93" t="s">
        <v>150</v>
      </c>
    </row>
    <row r="209" spans="1:2" x14ac:dyDescent="0.25">
      <c r="A209" s="88" t="s">
        <v>331</v>
      </c>
      <c r="B209" s="94" t="s">
        <v>258</v>
      </c>
    </row>
    <row r="210" spans="1:2" x14ac:dyDescent="0.25">
      <c r="A210" s="88" t="s">
        <v>330</v>
      </c>
      <c r="B210" s="93" t="s">
        <v>329</v>
      </c>
    </row>
    <row r="211" spans="1:2" x14ac:dyDescent="0.25">
      <c r="A211" s="88" t="s">
        <v>335</v>
      </c>
      <c r="B211" s="93" t="s">
        <v>334</v>
      </c>
    </row>
    <row r="212" spans="1:2" x14ac:dyDescent="0.25">
      <c r="A212" s="88" t="s">
        <v>338</v>
      </c>
      <c r="B212" s="93" t="s">
        <v>336</v>
      </c>
    </row>
    <row r="213" spans="1:2" x14ac:dyDescent="0.25">
      <c r="A213" s="88" t="s">
        <v>134</v>
      </c>
      <c r="B213" s="93" t="s">
        <v>337</v>
      </c>
    </row>
    <row r="214" spans="1:2" x14ac:dyDescent="0.25">
      <c r="A214" s="88" t="s">
        <v>332</v>
      </c>
      <c r="B214" s="94" t="s">
        <v>260</v>
      </c>
    </row>
    <row r="215" spans="1:2" x14ac:dyDescent="0.25">
      <c r="A215" s="88" t="s">
        <v>333</v>
      </c>
      <c r="B215" s="94" t="s">
        <v>259</v>
      </c>
    </row>
    <row r="216" spans="1:2" x14ac:dyDescent="0.25">
      <c r="A216" s="88" t="s">
        <v>328</v>
      </c>
      <c r="B216" s="93" t="s">
        <v>297</v>
      </c>
    </row>
    <row r="217" spans="1:2" x14ac:dyDescent="0.25">
      <c r="A217" s="88" t="s">
        <v>209</v>
      </c>
      <c r="B217" s="93" t="s">
        <v>297</v>
      </c>
    </row>
    <row r="218" spans="1:2" x14ac:dyDescent="0.25">
      <c r="A218" s="88" t="s">
        <v>135</v>
      </c>
      <c r="B218" s="93" t="s">
        <v>329</v>
      </c>
    </row>
    <row r="219" spans="1:2" x14ac:dyDescent="0.25">
      <c r="A219" s="88" t="s">
        <v>143</v>
      </c>
      <c r="B219" s="93" t="s">
        <v>144</v>
      </c>
    </row>
    <row r="220" spans="1:2" x14ac:dyDescent="0.25">
      <c r="A220" s="88" t="s">
        <v>136</v>
      </c>
      <c r="B220" s="93" t="s">
        <v>329</v>
      </c>
    </row>
    <row r="221" spans="1:2" x14ac:dyDescent="0.25">
      <c r="A221" s="88" t="s">
        <v>140</v>
      </c>
      <c r="B221" s="93" t="s">
        <v>137</v>
      </c>
    </row>
    <row r="222" spans="1:2" x14ac:dyDescent="0.25">
      <c r="A222" s="88" t="s">
        <v>141</v>
      </c>
      <c r="B222" s="93" t="s">
        <v>138</v>
      </c>
    </row>
    <row r="223" spans="1:2" x14ac:dyDescent="0.25">
      <c r="A223" s="88" t="s">
        <v>142</v>
      </c>
      <c r="B223" s="93" t="s">
        <v>139</v>
      </c>
    </row>
    <row r="224" spans="1:2" x14ac:dyDescent="0.25">
      <c r="A224" s="88" t="s">
        <v>145</v>
      </c>
      <c r="B224" s="93" t="s">
        <v>329</v>
      </c>
    </row>
    <row r="225" spans="1:2" x14ac:dyDescent="0.25">
      <c r="A225" s="88" t="s">
        <v>146</v>
      </c>
      <c r="B225" s="93" t="s">
        <v>137</v>
      </c>
    </row>
    <row r="226" spans="1:2" x14ac:dyDescent="0.25">
      <c r="A226" s="88" t="s">
        <v>147</v>
      </c>
      <c r="B226" s="93" t="s">
        <v>138</v>
      </c>
    </row>
    <row r="227" spans="1:2" x14ac:dyDescent="0.25">
      <c r="A227" s="88" t="s">
        <v>148</v>
      </c>
      <c r="B227" s="93" t="s">
        <v>139</v>
      </c>
    </row>
    <row r="228" spans="1:2" x14ac:dyDescent="0.25">
      <c r="A228" s="88" t="s">
        <v>287</v>
      </c>
      <c r="B228" s="93" t="s">
        <v>297</v>
      </c>
    </row>
    <row r="229" spans="1:2" x14ac:dyDescent="0.25">
      <c r="A229" s="88" t="s">
        <v>327</v>
      </c>
      <c r="B229" s="93" t="s">
        <v>297</v>
      </c>
    </row>
    <row r="230" spans="1:2" x14ac:dyDescent="0.25">
      <c r="B230" s="93"/>
    </row>
    <row r="231" spans="1:2" x14ac:dyDescent="0.25">
      <c r="B231" s="93"/>
    </row>
    <row r="233" spans="1:2" ht="18.75" x14ac:dyDescent="0.3">
      <c r="A233" s="86" t="s">
        <v>213</v>
      </c>
      <c r="B233" s="87"/>
    </row>
    <row r="234" spans="1:2" ht="18.75" x14ac:dyDescent="0.3">
      <c r="A234" s="89" t="s">
        <v>315</v>
      </c>
      <c r="B234" s="90"/>
    </row>
    <row r="235" spans="1:2" x14ac:dyDescent="0.25">
      <c r="A235" s="88" t="s">
        <v>368</v>
      </c>
      <c r="B235" s="91" t="s">
        <v>479</v>
      </c>
    </row>
    <row r="236" spans="1:2" x14ac:dyDescent="0.25">
      <c r="A236" s="88" t="s">
        <v>367</v>
      </c>
      <c r="B236" s="91" t="s">
        <v>479</v>
      </c>
    </row>
    <row r="237" spans="1:2" x14ac:dyDescent="0.25">
      <c r="A237" s="88" t="s">
        <v>318</v>
      </c>
      <c r="B237" s="91" t="s">
        <v>479</v>
      </c>
    </row>
    <row r="238" spans="1:2" x14ac:dyDescent="0.25">
      <c r="A238" s="88" t="s">
        <v>322</v>
      </c>
      <c r="B238" s="93" t="s">
        <v>297</v>
      </c>
    </row>
    <row r="239" spans="1:2" x14ac:dyDescent="0.25">
      <c r="A239" s="88" t="s">
        <v>62</v>
      </c>
      <c r="B239" s="93" t="s">
        <v>297</v>
      </c>
    </row>
    <row r="240" spans="1:2" x14ac:dyDescent="0.25">
      <c r="A240" s="88" t="s">
        <v>63</v>
      </c>
      <c r="B240" s="93" t="s">
        <v>297</v>
      </c>
    </row>
    <row r="241" spans="1:4" x14ac:dyDescent="0.25">
      <c r="A241" s="88" t="s">
        <v>104</v>
      </c>
      <c r="B241" s="93" t="s">
        <v>268</v>
      </c>
    </row>
    <row r="242" spans="1:4" x14ac:dyDescent="0.25">
      <c r="A242" s="88" t="s">
        <v>215</v>
      </c>
      <c r="B242" s="93" t="s">
        <v>269</v>
      </c>
    </row>
    <row r="243" spans="1:4" x14ac:dyDescent="0.25">
      <c r="A243" s="88" t="s">
        <v>216</v>
      </c>
      <c r="B243" s="93" t="s">
        <v>270</v>
      </c>
    </row>
    <row r="244" spans="1:4" x14ac:dyDescent="0.25">
      <c r="A244" s="88" t="s">
        <v>102</v>
      </c>
      <c r="B244" s="93" t="s">
        <v>272</v>
      </c>
    </row>
    <row r="245" spans="1:4" x14ac:dyDescent="0.25">
      <c r="A245" s="88" t="s">
        <v>103</v>
      </c>
      <c r="B245" s="93" t="s">
        <v>271</v>
      </c>
    </row>
    <row r="246" spans="1:4" x14ac:dyDescent="0.25">
      <c r="A246" s="88" t="s">
        <v>273</v>
      </c>
      <c r="B246" s="93" t="s">
        <v>274</v>
      </c>
    </row>
    <row r="247" spans="1:4" x14ac:dyDescent="0.25">
      <c r="A247" s="88" t="s">
        <v>99</v>
      </c>
      <c r="B247" s="93" t="s">
        <v>275</v>
      </c>
      <c r="D247" s="95"/>
    </row>
    <row r="248" spans="1:4" x14ac:dyDescent="0.25">
      <c r="A248" s="88" t="s">
        <v>276</v>
      </c>
      <c r="B248" s="93" t="s">
        <v>278</v>
      </c>
    </row>
    <row r="249" spans="1:4" x14ac:dyDescent="0.25">
      <c r="A249" s="88" t="s">
        <v>277</v>
      </c>
      <c r="B249" s="93" t="s">
        <v>279</v>
      </c>
      <c r="D249" s="95"/>
    </row>
    <row r="250" spans="1:4" x14ac:dyDescent="0.25">
      <c r="A250" s="88" t="s">
        <v>321</v>
      </c>
      <c r="B250" s="93" t="s">
        <v>297</v>
      </c>
    </row>
    <row r="251" spans="1:4" x14ac:dyDescent="0.25">
      <c r="A251" s="88" t="s">
        <v>320</v>
      </c>
      <c r="B251" s="93" t="s">
        <v>297</v>
      </c>
    </row>
    <row r="252" spans="1:4" x14ac:dyDescent="0.25">
      <c r="A252" s="88" t="s">
        <v>324</v>
      </c>
      <c r="B252" s="93" t="s">
        <v>297</v>
      </c>
    </row>
    <row r="253" spans="1:4" x14ac:dyDescent="0.25">
      <c r="A253" s="88" t="s">
        <v>319</v>
      </c>
      <c r="B253" s="93" t="s">
        <v>297</v>
      </c>
    </row>
    <row r="254" spans="1:4" x14ac:dyDescent="0.25">
      <c r="A254" s="88" t="s">
        <v>217</v>
      </c>
      <c r="B254" s="93" t="s">
        <v>268</v>
      </c>
    </row>
    <row r="255" spans="1:4" x14ac:dyDescent="0.25">
      <c r="A255" s="88" t="s">
        <v>218</v>
      </c>
      <c r="B255" s="93" t="s">
        <v>270</v>
      </c>
    </row>
    <row r="256" spans="1:4" x14ac:dyDescent="0.25">
      <c r="A256" s="88" t="s">
        <v>219</v>
      </c>
      <c r="B256" s="93" t="s">
        <v>289</v>
      </c>
    </row>
    <row r="257" spans="1:2" x14ac:dyDescent="0.25">
      <c r="A257" s="88" t="s">
        <v>220</v>
      </c>
      <c r="B257" s="93" t="s">
        <v>100</v>
      </c>
    </row>
    <row r="258" spans="1:2" x14ac:dyDescent="0.25">
      <c r="A258" s="88" t="s">
        <v>221</v>
      </c>
      <c r="B258" s="93" t="s">
        <v>101</v>
      </c>
    </row>
    <row r="259" spans="1:2" x14ac:dyDescent="0.25">
      <c r="A259" s="88" t="s">
        <v>222</v>
      </c>
      <c r="B259" s="93" t="s">
        <v>279</v>
      </c>
    </row>
    <row r="260" spans="1:2" x14ac:dyDescent="0.25">
      <c r="A260" s="88" t="s">
        <v>223</v>
      </c>
      <c r="B260" s="93" t="s">
        <v>224</v>
      </c>
    </row>
    <row r="261" spans="1:2" x14ac:dyDescent="0.25">
      <c r="A261" s="88" t="s">
        <v>202</v>
      </c>
      <c r="B261" s="93" t="s">
        <v>285</v>
      </c>
    </row>
    <row r="262" spans="1:2" x14ac:dyDescent="0.25">
      <c r="A262" s="88" t="s">
        <v>203</v>
      </c>
      <c r="B262" s="93" t="s">
        <v>286</v>
      </c>
    </row>
    <row r="263" spans="1:2" x14ac:dyDescent="0.25">
      <c r="A263" s="88" t="s">
        <v>283</v>
      </c>
      <c r="B263" s="93" t="s">
        <v>284</v>
      </c>
    </row>
    <row r="264" spans="1:2" x14ac:dyDescent="0.25">
      <c r="A264" s="88" t="s">
        <v>282</v>
      </c>
      <c r="B264" s="93" t="s">
        <v>281</v>
      </c>
    </row>
    <row r="265" spans="1:2" x14ac:dyDescent="0.25">
      <c r="A265" s="88" t="s">
        <v>280</v>
      </c>
      <c r="B265" s="93" t="s">
        <v>297</v>
      </c>
    </row>
    <row r="266" spans="1:2" x14ac:dyDescent="0.25">
      <c r="A266" s="88" t="s">
        <v>563</v>
      </c>
      <c r="B266" s="93" t="s">
        <v>297</v>
      </c>
    </row>
    <row r="267" spans="1:2" x14ac:dyDescent="0.25">
      <c r="A267" s="88" t="s">
        <v>323</v>
      </c>
      <c r="B267" s="93" t="s">
        <v>297</v>
      </c>
    </row>
    <row r="268" spans="1:2" x14ac:dyDescent="0.25">
      <c r="A268" s="88" t="s">
        <v>209</v>
      </c>
      <c r="B268" s="93" t="s">
        <v>297</v>
      </c>
    </row>
    <row r="269" spans="1:2" x14ac:dyDescent="0.25">
      <c r="A269" s="88" t="s">
        <v>266</v>
      </c>
      <c r="B269" s="93" t="s">
        <v>297</v>
      </c>
    </row>
    <row r="270" spans="1:2" x14ac:dyDescent="0.25">
      <c r="A270" s="88" t="s">
        <v>227</v>
      </c>
      <c r="B270" s="91" t="s">
        <v>479</v>
      </c>
    </row>
    <row r="272" spans="1:2" ht="18.75" x14ac:dyDescent="0.3">
      <c r="A272" s="86" t="s">
        <v>316</v>
      </c>
      <c r="B272" s="87"/>
    </row>
    <row r="273" spans="1:4" ht="18.75" x14ac:dyDescent="0.3">
      <c r="A273" s="89" t="s">
        <v>317</v>
      </c>
      <c r="B273" s="90"/>
    </row>
    <row r="274" spans="1:4" x14ac:dyDescent="0.25">
      <c r="A274" s="88" t="s">
        <v>370</v>
      </c>
      <c r="B274" s="91" t="s">
        <v>479</v>
      </c>
    </row>
    <row r="275" spans="1:4" x14ac:dyDescent="0.25">
      <c r="A275" s="88" t="s">
        <v>371</v>
      </c>
      <c r="B275" s="91" t="s">
        <v>479</v>
      </c>
    </row>
    <row r="276" spans="1:4" x14ac:dyDescent="0.25">
      <c r="A276" s="88" t="s">
        <v>93</v>
      </c>
      <c r="B276" s="91" t="s">
        <v>479</v>
      </c>
    </row>
    <row r="277" spans="1:4" x14ac:dyDescent="0.25">
      <c r="A277" s="88" t="s">
        <v>524</v>
      </c>
      <c r="B277" s="93" t="s">
        <v>297</v>
      </c>
    </row>
    <row r="278" spans="1:4" x14ac:dyDescent="0.25">
      <c r="A278" s="88" t="s">
        <v>322</v>
      </c>
      <c r="B278" s="93" t="s">
        <v>297</v>
      </c>
    </row>
    <row r="279" spans="1:4" x14ac:dyDescent="0.25">
      <c r="A279" s="88" t="s">
        <v>104</v>
      </c>
      <c r="B279" s="93" t="s">
        <v>268</v>
      </c>
    </row>
    <row r="280" spans="1:4" x14ac:dyDescent="0.25">
      <c r="A280" s="88" t="s">
        <v>215</v>
      </c>
      <c r="B280" s="93" t="s">
        <v>269</v>
      </c>
    </row>
    <row r="281" spans="1:4" x14ac:dyDescent="0.25">
      <c r="A281" s="88" t="s">
        <v>216</v>
      </c>
      <c r="B281" s="93" t="s">
        <v>270</v>
      </c>
    </row>
    <row r="282" spans="1:4" x14ac:dyDescent="0.25">
      <c r="A282" s="88" t="s">
        <v>102</v>
      </c>
      <c r="B282" s="93" t="s">
        <v>272</v>
      </c>
    </row>
    <row r="283" spans="1:4" x14ac:dyDescent="0.25">
      <c r="A283" s="88" t="s">
        <v>103</v>
      </c>
      <c r="B283" s="93" t="s">
        <v>271</v>
      </c>
    </row>
    <row r="284" spans="1:4" x14ac:dyDescent="0.25">
      <c r="A284" s="88" t="s">
        <v>273</v>
      </c>
      <c r="B284" s="93" t="s">
        <v>274</v>
      </c>
    </row>
    <row r="285" spans="1:4" x14ac:dyDescent="0.25">
      <c r="A285" s="88" t="s">
        <v>99</v>
      </c>
      <c r="B285" s="93" t="s">
        <v>275</v>
      </c>
      <c r="D285" s="95"/>
    </row>
    <row r="286" spans="1:4" x14ac:dyDescent="0.25">
      <c r="A286" s="88" t="s">
        <v>276</v>
      </c>
      <c r="B286" s="93" t="s">
        <v>278</v>
      </c>
    </row>
    <row r="287" spans="1:4" x14ac:dyDescent="0.25">
      <c r="A287" s="88" t="s">
        <v>277</v>
      </c>
      <c r="B287" s="93" t="s">
        <v>279</v>
      </c>
      <c r="D287" s="95"/>
    </row>
    <row r="288" spans="1:4" x14ac:dyDescent="0.25">
      <c r="A288" s="88" t="s">
        <v>321</v>
      </c>
      <c r="B288" s="93" t="s">
        <v>297</v>
      </c>
    </row>
    <row r="289" spans="1:2" x14ac:dyDescent="0.25">
      <c r="A289" s="88" t="s">
        <v>320</v>
      </c>
      <c r="B289" s="93" t="s">
        <v>297</v>
      </c>
    </row>
    <row r="290" spans="1:2" x14ac:dyDescent="0.25">
      <c r="A290" s="88" t="s">
        <v>324</v>
      </c>
      <c r="B290" s="93" t="s">
        <v>297</v>
      </c>
    </row>
    <row r="291" spans="1:2" x14ac:dyDescent="0.25">
      <c r="A291" s="88" t="s">
        <v>319</v>
      </c>
      <c r="B291" s="93" t="s">
        <v>297</v>
      </c>
    </row>
    <row r="292" spans="1:2" x14ac:dyDescent="0.25">
      <c r="A292" s="88" t="s">
        <v>217</v>
      </c>
      <c r="B292" s="93" t="s">
        <v>268</v>
      </c>
    </row>
    <row r="293" spans="1:2" x14ac:dyDescent="0.25">
      <c r="A293" s="88" t="s">
        <v>218</v>
      </c>
      <c r="B293" s="93" t="s">
        <v>270</v>
      </c>
    </row>
    <row r="294" spans="1:2" x14ac:dyDescent="0.25">
      <c r="A294" s="88" t="s">
        <v>219</v>
      </c>
      <c r="B294" s="93" t="s">
        <v>289</v>
      </c>
    </row>
    <row r="295" spans="1:2" x14ac:dyDescent="0.25">
      <c r="A295" s="88" t="s">
        <v>220</v>
      </c>
      <c r="B295" s="93" t="s">
        <v>100</v>
      </c>
    </row>
    <row r="296" spans="1:2" x14ac:dyDescent="0.25">
      <c r="A296" s="88" t="s">
        <v>221</v>
      </c>
      <c r="B296" s="93" t="s">
        <v>101</v>
      </c>
    </row>
    <row r="297" spans="1:2" x14ac:dyDescent="0.25">
      <c r="A297" s="88" t="s">
        <v>222</v>
      </c>
      <c r="B297" s="93" t="s">
        <v>279</v>
      </c>
    </row>
    <row r="298" spans="1:2" x14ac:dyDescent="0.25">
      <c r="A298" s="88" t="s">
        <v>223</v>
      </c>
      <c r="B298" s="93" t="s">
        <v>224</v>
      </c>
    </row>
    <row r="299" spans="1:2" x14ac:dyDescent="0.25">
      <c r="A299" s="88" t="s">
        <v>202</v>
      </c>
      <c r="B299" s="93" t="s">
        <v>285</v>
      </c>
    </row>
    <row r="300" spans="1:2" x14ac:dyDescent="0.25">
      <c r="A300" s="88" t="s">
        <v>203</v>
      </c>
      <c r="B300" s="93" t="s">
        <v>286</v>
      </c>
    </row>
    <row r="301" spans="1:2" x14ac:dyDescent="0.25">
      <c r="A301" s="88" t="s">
        <v>283</v>
      </c>
      <c r="B301" s="93" t="s">
        <v>284</v>
      </c>
    </row>
    <row r="302" spans="1:2" x14ac:dyDescent="0.25">
      <c r="A302" s="88" t="s">
        <v>282</v>
      </c>
      <c r="B302" s="93" t="s">
        <v>281</v>
      </c>
    </row>
    <row r="303" spans="1:2" x14ac:dyDescent="0.25">
      <c r="A303" s="88" t="s">
        <v>280</v>
      </c>
      <c r="B303" s="93" t="s">
        <v>297</v>
      </c>
    </row>
    <row r="304" spans="1:2" x14ac:dyDescent="0.25">
      <c r="A304" s="88" t="s">
        <v>563</v>
      </c>
      <c r="B304" s="93" t="s">
        <v>297</v>
      </c>
    </row>
    <row r="305" spans="1:2" x14ac:dyDescent="0.25">
      <c r="A305" s="88" t="s">
        <v>225</v>
      </c>
      <c r="B305" s="93" t="s">
        <v>297</v>
      </c>
    </row>
    <row r="306" spans="1:2" x14ac:dyDescent="0.25">
      <c r="A306" s="88" t="s">
        <v>209</v>
      </c>
      <c r="B306" s="93" t="s">
        <v>297</v>
      </c>
    </row>
    <row r="307" spans="1:2" x14ac:dyDescent="0.25">
      <c r="A307" s="88" t="s">
        <v>288</v>
      </c>
      <c r="B307" s="93" t="s">
        <v>284</v>
      </c>
    </row>
    <row r="308" spans="1:2" x14ac:dyDescent="0.25">
      <c r="A308" s="88" t="s">
        <v>291</v>
      </c>
      <c r="B308" s="93" t="s">
        <v>289</v>
      </c>
    </row>
    <row r="309" spans="1:2" x14ac:dyDescent="0.25">
      <c r="A309" s="88" t="s">
        <v>82</v>
      </c>
      <c r="B309" s="93" t="s">
        <v>290</v>
      </c>
    </row>
    <row r="310" spans="1:2" x14ac:dyDescent="0.25">
      <c r="A310" s="88" t="s">
        <v>83</v>
      </c>
      <c r="B310" s="93" t="s">
        <v>86</v>
      </c>
    </row>
    <row r="311" spans="1:2" x14ac:dyDescent="0.25">
      <c r="A311" s="88" t="s">
        <v>84</v>
      </c>
      <c r="B311" s="93" t="s">
        <v>271</v>
      </c>
    </row>
    <row r="312" spans="1:2" x14ac:dyDescent="0.25">
      <c r="A312" s="88" t="s">
        <v>85</v>
      </c>
      <c r="B312" s="93" t="s">
        <v>87</v>
      </c>
    </row>
    <row r="313" spans="1:2" x14ac:dyDescent="0.25">
      <c r="A313" s="88" t="s">
        <v>94</v>
      </c>
      <c r="B313" s="93" t="s">
        <v>297</v>
      </c>
    </row>
    <row r="314" spans="1:2" x14ac:dyDescent="0.25">
      <c r="A314" s="88" t="s">
        <v>523</v>
      </c>
      <c r="B314" s="93" t="s">
        <v>297</v>
      </c>
    </row>
    <row r="315" spans="1:2" x14ac:dyDescent="0.25">
      <c r="A315" s="88" t="s">
        <v>98</v>
      </c>
      <c r="B315" s="93" t="s">
        <v>297</v>
      </c>
    </row>
    <row r="316" spans="1:2" x14ac:dyDescent="0.25">
      <c r="A316" s="88" t="s">
        <v>88</v>
      </c>
      <c r="B316" s="93" t="s">
        <v>271</v>
      </c>
    </row>
    <row r="317" spans="1:2" x14ac:dyDescent="0.25">
      <c r="A317" s="88" t="s">
        <v>89</v>
      </c>
      <c r="B317" s="93" t="s">
        <v>87</v>
      </c>
    </row>
    <row r="318" spans="1:2" x14ac:dyDescent="0.25">
      <c r="A318" s="88" t="s">
        <v>90</v>
      </c>
      <c r="B318" s="93" t="s">
        <v>91</v>
      </c>
    </row>
    <row r="319" spans="1:2" x14ac:dyDescent="0.25">
      <c r="A319" s="88" t="s">
        <v>92</v>
      </c>
      <c r="B319" s="93" t="s">
        <v>87</v>
      </c>
    </row>
    <row r="320" spans="1:2" x14ac:dyDescent="0.25">
      <c r="A320" s="88" t="s">
        <v>266</v>
      </c>
      <c r="B320" s="93" t="s">
        <v>297</v>
      </c>
    </row>
    <row r="321" spans="1:7" x14ac:dyDescent="0.25">
      <c r="A321" s="88" t="s">
        <v>227</v>
      </c>
      <c r="B321" s="91" t="s">
        <v>479</v>
      </c>
    </row>
    <row r="324" spans="1:7" ht="18.75" x14ac:dyDescent="0.3">
      <c r="A324" s="86" t="s">
        <v>172</v>
      </c>
      <c r="B324" s="87"/>
    </row>
    <row r="325" spans="1:7" ht="18.75" x14ac:dyDescent="0.3">
      <c r="A325" s="89" t="s">
        <v>173</v>
      </c>
      <c r="B325" s="90"/>
    </row>
    <row r="326" spans="1:7" x14ac:dyDescent="0.25">
      <c r="A326" s="88" t="s">
        <v>109</v>
      </c>
      <c r="B326" s="91" t="s">
        <v>479</v>
      </c>
    </row>
    <row r="327" spans="1:7" x14ac:dyDescent="0.25">
      <c r="A327" s="88" t="s">
        <v>110</v>
      </c>
      <c r="B327" s="91" t="s">
        <v>479</v>
      </c>
    </row>
    <row r="328" spans="1:7" x14ac:dyDescent="0.25">
      <c r="A328" s="88" t="s">
        <v>111</v>
      </c>
      <c r="B328" s="91" t="s">
        <v>479</v>
      </c>
    </row>
    <row r="329" spans="1:7" x14ac:dyDescent="0.25">
      <c r="A329" s="88" t="s">
        <v>521</v>
      </c>
      <c r="B329" s="92" t="s">
        <v>297</v>
      </c>
    </row>
    <row r="330" spans="1:7" x14ac:dyDescent="0.25">
      <c r="A330" s="88" t="s">
        <v>174</v>
      </c>
      <c r="B330" s="92" t="s">
        <v>297</v>
      </c>
    </row>
    <row r="331" spans="1:7" x14ac:dyDescent="0.25">
      <c r="A331" s="88" t="s">
        <v>79</v>
      </c>
      <c r="B331" s="92" t="s">
        <v>180</v>
      </c>
      <c r="E331" s="88">
        <f>20 + 35*SQRT(F331)</f>
        <v>267.48737341529164</v>
      </c>
      <c r="F331" s="88">
        <v>50</v>
      </c>
    </row>
    <row r="332" spans="1:7" x14ac:dyDescent="0.25">
      <c r="A332" s="88" t="s">
        <v>80</v>
      </c>
      <c r="B332" s="92" t="s">
        <v>181</v>
      </c>
      <c r="E332" s="88">
        <f>20 + 35*SQRT(F332)</f>
        <v>333.04951684997059</v>
      </c>
      <c r="F332" s="88">
        <v>80</v>
      </c>
    </row>
    <row r="333" spans="1:7" x14ac:dyDescent="0.25">
      <c r="A333" s="88" t="s">
        <v>81</v>
      </c>
      <c r="B333" s="92" t="s">
        <v>175</v>
      </c>
      <c r="E333" s="88">
        <f>0.93-0.00132*F333</f>
        <v>0.90360000000000007</v>
      </c>
      <c r="F333" s="88">
        <v>20</v>
      </c>
    </row>
    <row r="334" spans="1:7" x14ac:dyDescent="0.25">
      <c r="A334" s="88" t="s">
        <v>22</v>
      </c>
      <c r="B334" s="92" t="s">
        <v>176</v>
      </c>
      <c r="E334" s="88">
        <f>0.93-0.00132*F334</f>
        <v>0.87720000000000009</v>
      </c>
      <c r="F334" s="88">
        <v>40</v>
      </c>
    </row>
    <row r="335" spans="1:7" x14ac:dyDescent="0.25">
      <c r="A335" s="88" t="s">
        <v>23</v>
      </c>
      <c r="B335" s="92" t="s">
        <v>177</v>
      </c>
      <c r="E335" s="88">
        <f>0.93-0.00132*F335</f>
        <v>0.8508</v>
      </c>
      <c r="F335" s="88">
        <v>60</v>
      </c>
    </row>
    <row r="336" spans="1:7" x14ac:dyDescent="0.25">
      <c r="A336" s="88" t="s">
        <v>25</v>
      </c>
      <c r="B336" s="96" t="s">
        <v>179</v>
      </c>
      <c r="F336" s="88" t="s">
        <v>182</v>
      </c>
      <c r="G336" s="88" t="s">
        <v>183</v>
      </c>
    </row>
    <row r="337" spans="1:7" ht="18" x14ac:dyDescent="0.35">
      <c r="A337" s="88" t="s">
        <v>24</v>
      </c>
      <c r="B337" s="96" t="s">
        <v>178</v>
      </c>
    </row>
    <row r="338" spans="1:7" x14ac:dyDescent="0.25">
      <c r="A338" s="88" t="s">
        <v>78</v>
      </c>
      <c r="B338" s="92" t="s">
        <v>184</v>
      </c>
      <c r="E338" s="88">
        <f>G338/800+110*SQRT(F338)</f>
        <v>902.81745930520231</v>
      </c>
      <c r="F338" s="88">
        <v>50</v>
      </c>
      <c r="G338" s="97">
        <v>100000</v>
      </c>
    </row>
    <row r="339" spans="1:7" x14ac:dyDescent="0.25">
      <c r="A339" s="88" t="s">
        <v>26</v>
      </c>
      <c r="B339" s="92" t="s">
        <v>70</v>
      </c>
      <c r="E339" s="88">
        <f>G339/800+110*SQRT(F339)</f>
        <v>1233.8699100999074</v>
      </c>
      <c r="F339" s="88">
        <v>80</v>
      </c>
      <c r="G339" s="97">
        <v>200000</v>
      </c>
    </row>
    <row r="340" spans="1:7" x14ac:dyDescent="0.25">
      <c r="A340" s="88" t="s">
        <v>27</v>
      </c>
      <c r="B340" s="92" t="s">
        <v>71</v>
      </c>
      <c r="E340" s="88">
        <f>0.62-0.0019*F340</f>
        <v>0.58199999999999996</v>
      </c>
      <c r="F340" s="88">
        <v>20</v>
      </c>
      <c r="G340" s="97"/>
    </row>
    <row r="341" spans="1:7" x14ac:dyDescent="0.25">
      <c r="A341" s="88" t="s">
        <v>28</v>
      </c>
      <c r="B341" s="92" t="s">
        <v>72</v>
      </c>
      <c r="E341" s="88">
        <f>0.62-0.0019*F341</f>
        <v>0.54400000000000004</v>
      </c>
      <c r="F341" s="88">
        <v>40</v>
      </c>
      <c r="G341" s="97"/>
    </row>
    <row r="342" spans="1:7" x14ac:dyDescent="0.25">
      <c r="A342" s="88" t="s">
        <v>29</v>
      </c>
      <c r="B342" s="92" t="s">
        <v>297</v>
      </c>
      <c r="G342" s="97"/>
    </row>
    <row r="343" spans="1:7" x14ac:dyDescent="0.25">
      <c r="A343" s="88" t="s">
        <v>30</v>
      </c>
      <c r="B343" s="92" t="s">
        <v>297</v>
      </c>
      <c r="G343" s="97"/>
    </row>
    <row r="344" spans="1:7" x14ac:dyDescent="0.25">
      <c r="A344" s="88" t="s">
        <v>31</v>
      </c>
      <c r="B344" s="92" t="s">
        <v>175</v>
      </c>
      <c r="E344" s="88">
        <f>0.93-0.00132*F344</f>
        <v>0.90360000000000007</v>
      </c>
      <c r="F344" s="88">
        <v>20</v>
      </c>
    </row>
    <row r="345" spans="1:7" x14ac:dyDescent="0.25">
      <c r="A345" s="88" t="s">
        <v>32</v>
      </c>
      <c r="B345" s="92" t="s">
        <v>176</v>
      </c>
      <c r="E345" s="88">
        <f>0.93-0.00132*F345</f>
        <v>0.87720000000000009</v>
      </c>
      <c r="F345" s="88">
        <v>40</v>
      </c>
    </row>
    <row r="346" spans="1:7" x14ac:dyDescent="0.25">
      <c r="A346" s="88" t="s">
        <v>105</v>
      </c>
      <c r="B346" s="92" t="s">
        <v>177</v>
      </c>
      <c r="E346" s="88">
        <f>0.93-0.00132*F346</f>
        <v>0.8508</v>
      </c>
      <c r="F346" s="88">
        <v>60</v>
      </c>
    </row>
    <row r="347" spans="1:7" x14ac:dyDescent="0.25">
      <c r="A347" s="88" t="s">
        <v>106</v>
      </c>
      <c r="B347" s="92" t="s">
        <v>297</v>
      </c>
      <c r="G347" s="97"/>
    </row>
    <row r="348" spans="1:7" x14ac:dyDescent="0.25">
      <c r="A348" s="88" t="s">
        <v>107</v>
      </c>
      <c r="B348" s="92"/>
      <c r="G348" s="97"/>
    </row>
    <row r="349" spans="1:7" x14ac:dyDescent="0.25">
      <c r="A349" s="88" t="s">
        <v>74</v>
      </c>
      <c r="B349" s="92" t="s">
        <v>297</v>
      </c>
      <c r="G349" s="97"/>
    </row>
    <row r="350" spans="1:7" x14ac:dyDescent="0.25">
      <c r="A350" s="88" t="s">
        <v>73</v>
      </c>
      <c r="B350" s="92" t="s">
        <v>297</v>
      </c>
      <c r="G350" s="97"/>
    </row>
    <row r="351" spans="1:7" x14ac:dyDescent="0.25">
      <c r="A351" s="88" t="s">
        <v>108</v>
      </c>
      <c r="B351" s="92" t="s">
        <v>297</v>
      </c>
      <c r="G351" s="97"/>
    </row>
    <row r="352" spans="1:7" x14ac:dyDescent="0.25">
      <c r="A352" s="88" t="s">
        <v>75</v>
      </c>
      <c r="B352" s="92" t="s">
        <v>297</v>
      </c>
    </row>
    <row r="353" spans="1:2" x14ac:dyDescent="0.25">
      <c r="A353" s="88" t="s">
        <v>76</v>
      </c>
      <c r="B353" s="92" t="s">
        <v>297</v>
      </c>
    </row>
    <row r="354" spans="1:2" x14ac:dyDescent="0.25">
      <c r="B354" s="92"/>
    </row>
    <row r="355" spans="1:2" x14ac:dyDescent="0.25">
      <c r="B355" s="92"/>
    </row>
    <row r="356" spans="1:2" ht="18.75" x14ac:dyDescent="0.3">
      <c r="A356" s="86" t="s">
        <v>114</v>
      </c>
      <c r="B356" s="87"/>
    </row>
    <row r="357" spans="1:2" ht="18.75" x14ac:dyDescent="0.3">
      <c r="A357" s="89" t="s">
        <v>115</v>
      </c>
      <c r="B357" s="90"/>
    </row>
    <row r="358" spans="1:2" x14ac:dyDescent="0.25">
      <c r="A358" s="88" t="s">
        <v>116</v>
      </c>
      <c r="B358" s="91" t="s">
        <v>479</v>
      </c>
    </row>
    <row r="359" spans="1:2" x14ac:dyDescent="0.25">
      <c r="A359" s="88" t="s">
        <v>117</v>
      </c>
      <c r="B359" s="91" t="s">
        <v>479</v>
      </c>
    </row>
    <row r="360" spans="1:2" x14ac:dyDescent="0.25">
      <c r="A360" s="88" t="s">
        <v>118</v>
      </c>
      <c r="B360" s="91" t="s">
        <v>479</v>
      </c>
    </row>
    <row r="361" spans="1:2" x14ac:dyDescent="0.25">
      <c r="A361" s="88" t="s">
        <v>119</v>
      </c>
      <c r="B361" s="91" t="s">
        <v>479</v>
      </c>
    </row>
    <row r="362" spans="1:2" x14ac:dyDescent="0.25">
      <c r="A362" s="88" t="s">
        <v>526</v>
      </c>
      <c r="B362" s="92" t="s">
        <v>297</v>
      </c>
    </row>
    <row r="363" spans="1:2" x14ac:dyDescent="0.25">
      <c r="A363" s="88" t="s">
        <v>121</v>
      </c>
      <c r="B363" s="92" t="s">
        <v>297</v>
      </c>
    </row>
    <row r="364" spans="1:2" x14ac:dyDescent="0.25">
      <c r="A364" s="88" t="s">
        <v>120</v>
      </c>
      <c r="B364" s="92" t="s">
        <v>297</v>
      </c>
    </row>
    <row r="365" spans="1:2" x14ac:dyDescent="0.25">
      <c r="A365" s="88" t="s">
        <v>525</v>
      </c>
      <c r="B365" s="92" t="s">
        <v>297</v>
      </c>
    </row>
    <row r="366" spans="1:2" x14ac:dyDescent="0.25">
      <c r="A366" s="88" t="s">
        <v>123</v>
      </c>
      <c r="B366" s="92" t="s">
        <v>297</v>
      </c>
    </row>
    <row r="367" spans="1:2" x14ac:dyDescent="0.25">
      <c r="A367" s="88" t="s">
        <v>122</v>
      </c>
      <c r="B367" s="92" t="s">
        <v>297</v>
      </c>
    </row>
    <row r="368" spans="1:2" x14ac:dyDescent="0.25">
      <c r="A368" s="88" t="s">
        <v>124</v>
      </c>
      <c r="B368" s="92" t="s">
        <v>297</v>
      </c>
    </row>
    <row r="369" spans="2:2" x14ac:dyDescent="0.25">
      <c r="B369" s="92"/>
    </row>
    <row r="370" spans="2:2" x14ac:dyDescent="0.25">
      <c r="B370" s="92"/>
    </row>
    <row r="371" spans="2:2" x14ac:dyDescent="0.25">
      <c r="B371" s="92"/>
    </row>
    <row r="372" spans="2:2" x14ac:dyDescent="0.25">
      <c r="B372" s="92"/>
    </row>
    <row r="373" spans="2:2" x14ac:dyDescent="0.25">
      <c r="B373" s="92"/>
    </row>
    <row r="374" spans="2:2" x14ac:dyDescent="0.25">
      <c r="B374" s="92"/>
    </row>
    <row r="375" spans="2:2" x14ac:dyDescent="0.25">
      <c r="B375" s="92"/>
    </row>
    <row r="376" spans="2:2" x14ac:dyDescent="0.25">
      <c r="B376" s="92"/>
    </row>
    <row r="377" spans="2:2" x14ac:dyDescent="0.25">
      <c r="B377" s="92"/>
    </row>
    <row r="378" spans="2:2" x14ac:dyDescent="0.25">
      <c r="B378" s="92"/>
    </row>
    <row r="379" spans="2:2" x14ac:dyDescent="0.25">
      <c r="B379" s="92"/>
    </row>
    <row r="380" spans="2:2" x14ac:dyDescent="0.25">
      <c r="B380" s="92"/>
    </row>
    <row r="381" spans="2:2" x14ac:dyDescent="0.25">
      <c r="B381" s="92"/>
    </row>
    <row r="382" spans="2:2" x14ac:dyDescent="0.25">
      <c r="B382" s="92"/>
    </row>
    <row r="383" spans="2:2" x14ac:dyDescent="0.25">
      <c r="B383" s="92"/>
    </row>
    <row r="384" spans="2:2" x14ac:dyDescent="0.25">
      <c r="B384" s="92"/>
    </row>
    <row r="385" spans="2:2" x14ac:dyDescent="0.25">
      <c r="B385" s="92"/>
    </row>
    <row r="386" spans="2:2" x14ac:dyDescent="0.25">
      <c r="B386" s="92"/>
    </row>
    <row r="387" spans="2:2" x14ac:dyDescent="0.25">
      <c r="B387" s="92"/>
    </row>
    <row r="388" spans="2:2" x14ac:dyDescent="0.25">
      <c r="B388" s="92"/>
    </row>
    <row r="389" spans="2:2" x14ac:dyDescent="0.25">
      <c r="B389" s="92"/>
    </row>
    <row r="390" spans="2:2" x14ac:dyDescent="0.25">
      <c r="B390" s="92"/>
    </row>
    <row r="391" spans="2:2" x14ac:dyDescent="0.25">
      <c r="B391" s="92"/>
    </row>
    <row r="392" spans="2:2" x14ac:dyDescent="0.25">
      <c r="B392" s="92"/>
    </row>
    <row r="393" spans="2:2" x14ac:dyDescent="0.25">
      <c r="B393" s="92"/>
    </row>
    <row r="394" spans="2:2" x14ac:dyDescent="0.25">
      <c r="B394" s="92"/>
    </row>
    <row r="395" spans="2:2" x14ac:dyDescent="0.25">
      <c r="B395" s="92"/>
    </row>
    <row r="396" spans="2:2" x14ac:dyDescent="0.25">
      <c r="B396" s="92"/>
    </row>
    <row r="397" spans="2:2" x14ac:dyDescent="0.25">
      <c r="B397" s="92"/>
    </row>
    <row r="398" spans="2:2" x14ac:dyDescent="0.25">
      <c r="B398" s="92"/>
    </row>
    <row r="399" spans="2:2" x14ac:dyDescent="0.25">
      <c r="B399" s="92"/>
    </row>
    <row r="400" spans="2:2" x14ac:dyDescent="0.25">
      <c r="B400" s="92"/>
    </row>
    <row r="401" spans="2:2" x14ac:dyDescent="0.25">
      <c r="B401" s="92"/>
    </row>
    <row r="402" spans="2:2" x14ac:dyDescent="0.25">
      <c r="B402" s="92"/>
    </row>
    <row r="403" spans="2:2" x14ac:dyDescent="0.25">
      <c r="B403" s="92"/>
    </row>
    <row r="404" spans="2:2" x14ac:dyDescent="0.25">
      <c r="B404" s="92"/>
    </row>
    <row r="405" spans="2:2" x14ac:dyDescent="0.25">
      <c r="B405" s="92"/>
    </row>
    <row r="406" spans="2:2" x14ac:dyDescent="0.25">
      <c r="B406" s="92"/>
    </row>
    <row r="407" spans="2:2" x14ac:dyDescent="0.25">
      <c r="B407" s="92"/>
    </row>
    <row r="408" spans="2:2" x14ac:dyDescent="0.25">
      <c r="B408" s="92"/>
    </row>
    <row r="409" spans="2:2" x14ac:dyDescent="0.25">
      <c r="B409" s="92"/>
    </row>
  </sheetData>
  <sheetProtection password="9059" sheet="1" objects="1" scenarios="1"/>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50</vt:i4>
      </vt:variant>
    </vt:vector>
  </HeadingPairs>
  <TitlesOfParts>
    <vt:vector size="54" baseType="lpstr">
      <vt:lpstr>BuildingDesignChecklist</vt:lpstr>
      <vt:lpstr>LPD Lookup</vt:lpstr>
      <vt:lpstr>Lists_LookupTables</vt:lpstr>
      <vt:lpstr>NewLookUps</vt:lpstr>
      <vt:lpstr>ACrating</vt:lpstr>
      <vt:lpstr>AirHandlerCoolList</vt:lpstr>
      <vt:lpstr>AirHandlerCoolTbl</vt:lpstr>
      <vt:lpstr>AirHandlerHtList</vt:lpstr>
      <vt:lpstr>AirHandlerHtTbl</vt:lpstr>
      <vt:lpstr>AirHandlerTypeList</vt:lpstr>
      <vt:lpstr>AirHandlerTypeTbl</vt:lpstr>
      <vt:lpstr>BldgLPDtable</vt:lpstr>
      <vt:lpstr>BldgTypeList</vt:lpstr>
      <vt:lpstr>CemtrlHtTbl</vt:lpstr>
      <vt:lpstr>CentralCoolList</vt:lpstr>
      <vt:lpstr>CentralCoolTbl</vt:lpstr>
      <vt:lpstr>CentralHtList</vt:lpstr>
      <vt:lpstr>CentralHtTbl</vt:lpstr>
      <vt:lpstr>ClimateZone</vt:lpstr>
      <vt:lpstr>CoolTable</vt:lpstr>
      <vt:lpstr>DCV_Options</vt:lpstr>
      <vt:lpstr>DCV_Table</vt:lpstr>
      <vt:lpstr>Defaultchoice</vt:lpstr>
      <vt:lpstr>DefaultValue</vt:lpstr>
      <vt:lpstr>EconomizerOptions</vt:lpstr>
      <vt:lpstr>EconomizerTable</vt:lpstr>
      <vt:lpstr>ERV_Options</vt:lpstr>
      <vt:lpstr>ERVList</vt:lpstr>
      <vt:lpstr>ERVtable</vt:lpstr>
      <vt:lpstr>ERVTbl</vt:lpstr>
      <vt:lpstr>HeatRatings</vt:lpstr>
      <vt:lpstr>HeatTable</vt:lpstr>
      <vt:lpstr>HWHtrList</vt:lpstr>
      <vt:lpstr>HWHtrTbl</vt:lpstr>
      <vt:lpstr>InfiltrationTbl</vt:lpstr>
      <vt:lpstr>LightingControls</vt:lpstr>
      <vt:lpstr>Outdoor_Air_Flow_Based_On</vt:lpstr>
      <vt:lpstr>BuildingDesignChecklist!Print_Area</vt:lpstr>
      <vt:lpstr>ProcessLoadUnits</vt:lpstr>
      <vt:lpstr>RenewablesList</vt:lpstr>
      <vt:lpstr>RenewablesTbl</vt:lpstr>
      <vt:lpstr>RoofRTbl</vt:lpstr>
      <vt:lpstr>RoofRTblList</vt:lpstr>
      <vt:lpstr>SHWload</vt:lpstr>
      <vt:lpstr>SHWratings</vt:lpstr>
      <vt:lpstr>Ventilation_Options</vt:lpstr>
      <vt:lpstr>VentilationControlList</vt:lpstr>
      <vt:lpstr>VentilationControlTbl</vt:lpstr>
      <vt:lpstr>WallRTbl</vt:lpstr>
      <vt:lpstr>WallRTblList</vt:lpstr>
      <vt:lpstr>ZoneCoolList</vt:lpstr>
      <vt:lpstr>ZoneCoolTbl</vt:lpstr>
      <vt:lpstr>ZoneHtList</vt:lpstr>
      <vt:lpstr>ZoneHtTbl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dc:creator>
  <cp:lastModifiedBy>PS</cp:lastModifiedBy>
  <cp:lastPrinted>2011-01-14T02:38:09Z</cp:lastPrinted>
  <dcterms:created xsi:type="dcterms:W3CDTF">2010-10-14T00:56:05Z</dcterms:created>
  <dcterms:modified xsi:type="dcterms:W3CDTF">2014-01-15T16:17:00Z</dcterms:modified>
</cp:coreProperties>
</file>